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defaultThemeVersion="166925"/>
  <mc:AlternateContent xmlns:mc="http://schemas.openxmlformats.org/markup-compatibility/2006">
    <mc:Choice Requires="x15">
      <x15ac:absPath xmlns:x15ac="http://schemas.microsoft.com/office/spreadsheetml/2010/11/ac" url="Y:\WL\1. WYKONANIE BUDŻETU\Wykonanie budżetu I półr. 2018\BIP_2018\"/>
    </mc:Choice>
  </mc:AlternateContent>
  <xr:revisionPtr revIDLastSave="0" documentId="10_ncr:8100000_{F5CC6CBA-3488-4C13-BCF3-71E6E2655B71}" xr6:coauthVersionLast="34" xr6:coauthVersionMax="34" xr10:uidLastSave="{00000000-0000-0000-0000-000000000000}"/>
  <bookViews>
    <workbookView xWindow="0" yWindow="0" windowWidth="24000" windowHeight="9525" xr2:uid="{00000000-000D-0000-FFFF-FFFF00000000}"/>
  </bookViews>
  <sheets>
    <sheet name="Wydatki" sheetId="1" r:id="rId1"/>
    <sheet name="Dochody" sheetId="2" r:id="rId2"/>
    <sheet name="Wydatki (2)" sheetId="3" r:id="rId3"/>
  </sheets>
  <definedNames>
    <definedName name="_xlnm.Print_Area" localSheetId="0">Wydatki!$A$1:$E$118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2" i="3" l="1"/>
  <c r="G121" i="3"/>
  <c r="G120" i="3"/>
  <c r="I119" i="3"/>
  <c r="H119" i="3"/>
  <c r="F119" i="3"/>
  <c r="G119" i="3" s="1"/>
  <c r="E119" i="3"/>
  <c r="G118" i="3"/>
  <c r="G117" i="3"/>
  <c r="G116" i="3"/>
  <c r="G115" i="3"/>
  <c r="G114" i="3"/>
  <c r="G113" i="3"/>
  <c r="G112" i="3"/>
  <c r="G111" i="3"/>
  <c r="F110" i="3"/>
  <c r="G110" i="3" s="1"/>
  <c r="E110" i="3"/>
  <c r="G109" i="3"/>
  <c r="G108" i="3"/>
  <c r="G107" i="3"/>
  <c r="G106" i="3"/>
  <c r="G105" i="3"/>
  <c r="G104" i="3"/>
  <c r="G103" i="3"/>
  <c r="I102" i="3"/>
  <c r="I101" i="3" s="1"/>
  <c r="H102" i="3"/>
  <c r="F102" i="3"/>
  <c r="G102" i="3" s="1"/>
  <c r="E102" i="3"/>
  <c r="E101" i="3" s="1"/>
  <c r="H101" i="3"/>
  <c r="F101" i="3"/>
  <c r="I100" i="3"/>
  <c r="H100" i="3"/>
  <c r="G99" i="3"/>
  <c r="G98" i="3"/>
  <c r="G97" i="3"/>
  <c r="G96" i="3"/>
  <c r="G95" i="3"/>
  <c r="G94" i="3"/>
  <c r="G93" i="3"/>
  <c r="G92" i="3"/>
  <c r="F91" i="3"/>
  <c r="F100" i="3" s="1"/>
  <c r="E91" i="3"/>
  <c r="E100" i="3" s="1"/>
  <c r="G90" i="3"/>
  <c r="G89" i="3"/>
  <c r="G88" i="3"/>
  <c r="G87" i="3"/>
  <c r="G86" i="3"/>
  <c r="G85" i="3"/>
  <c r="G84" i="3"/>
  <c r="G83" i="3"/>
  <c r="I81" i="3"/>
  <c r="H81" i="3"/>
  <c r="G80" i="3"/>
  <c r="G79" i="3"/>
  <c r="G78" i="3"/>
  <c r="F77" i="3"/>
  <c r="F81" i="3" s="1"/>
  <c r="E77" i="3"/>
  <c r="E81" i="3" s="1"/>
  <c r="G76" i="3"/>
  <c r="G75" i="3"/>
  <c r="G74" i="3"/>
  <c r="G73" i="3"/>
  <c r="I71" i="3"/>
  <c r="H71" i="3"/>
  <c r="F71" i="3"/>
  <c r="G71" i="3" s="1"/>
  <c r="G70" i="3"/>
  <c r="G69" i="3"/>
  <c r="G68" i="3"/>
  <c r="G67" i="3"/>
  <c r="G66" i="3"/>
  <c r="G65" i="3"/>
  <c r="G64" i="3"/>
  <c r="F64" i="3"/>
  <c r="E64" i="3"/>
  <c r="E71" i="3" s="1"/>
  <c r="E57" i="3" s="1"/>
  <c r="E44" i="3" s="1"/>
  <c r="G63" i="3"/>
  <c r="G62" i="3"/>
  <c r="G61" i="3"/>
  <c r="G60" i="3"/>
  <c r="G59" i="3"/>
  <c r="G58" i="3"/>
  <c r="I57" i="3"/>
  <c r="H57" i="3"/>
  <c r="G56" i="3"/>
  <c r="G55" i="3"/>
  <c r="G54" i="3"/>
  <c r="F53" i="3"/>
  <c r="G53" i="3" s="1"/>
  <c r="E53" i="3"/>
  <c r="G52" i="3"/>
  <c r="G51" i="3"/>
  <c r="G50" i="3"/>
  <c r="G49" i="3"/>
  <c r="G48" i="3"/>
  <c r="I47" i="3"/>
  <c r="H47" i="3"/>
  <c r="F47" i="3"/>
  <c r="G47" i="3" s="1"/>
  <c r="E47" i="3"/>
  <c r="G46" i="3"/>
  <c r="I45" i="3"/>
  <c r="H45" i="3"/>
  <c r="H44" i="3" s="1"/>
  <c r="G45" i="3"/>
  <c r="F45" i="3"/>
  <c r="E45" i="3"/>
  <c r="I44" i="3"/>
  <c r="G43" i="3"/>
  <c r="G42" i="3"/>
  <c r="G41" i="3"/>
  <c r="G40" i="3"/>
  <c r="G39" i="3"/>
  <c r="F38" i="3"/>
  <c r="E38" i="3"/>
  <c r="E33" i="3" s="1"/>
  <c r="G37" i="3"/>
  <c r="G36" i="3"/>
  <c r="G35" i="3"/>
  <c r="G34" i="3"/>
  <c r="I33" i="3"/>
  <c r="H33" i="3"/>
  <c r="F33" i="3"/>
  <c r="G33" i="3" s="1"/>
  <c r="G32" i="3"/>
  <c r="G31" i="3"/>
  <c r="G30" i="3"/>
  <c r="G29" i="3"/>
  <c r="G28" i="3"/>
  <c r="G27" i="3"/>
  <c r="G26" i="3"/>
  <c r="G25" i="3"/>
  <c r="G24" i="3"/>
  <c r="G23" i="3"/>
  <c r="G22" i="3"/>
  <c r="G21" i="3"/>
  <c r="F21" i="3"/>
  <c r="E21" i="3"/>
  <c r="G20" i="3"/>
  <c r="G19" i="3"/>
  <c r="G18" i="3"/>
  <c r="G17" i="3"/>
  <c r="G16" i="3"/>
  <c r="G15" i="3"/>
  <c r="I14" i="3"/>
  <c r="H14" i="3"/>
  <c r="F14" i="3"/>
  <c r="E14" i="3"/>
  <c r="G14" i="3" s="1"/>
  <c r="G13" i="3"/>
  <c r="G12" i="3"/>
  <c r="G11" i="3"/>
  <c r="G10" i="3"/>
  <c r="I9" i="3"/>
  <c r="H9" i="3"/>
  <c r="H8" i="3" s="1"/>
  <c r="H123" i="3" s="1"/>
  <c r="F9" i="3"/>
  <c r="G9" i="3" s="1"/>
  <c r="E9" i="3"/>
  <c r="I8" i="3"/>
  <c r="I123" i="3" s="1"/>
  <c r="G37" i="2"/>
  <c r="G34" i="2"/>
  <c r="I32" i="2"/>
  <c r="I25" i="2" s="1"/>
  <c r="H32" i="2"/>
  <c r="F32" i="2"/>
  <c r="G32" i="2" s="1"/>
  <c r="E32" i="2"/>
  <c r="E25" i="2" s="1"/>
  <c r="G31" i="2"/>
  <c r="I26" i="2"/>
  <c r="H26" i="2"/>
  <c r="G26" i="2"/>
  <c r="F26" i="2"/>
  <c r="E26" i="2"/>
  <c r="H25" i="2"/>
  <c r="G24" i="2"/>
  <c r="I23" i="2"/>
  <c r="H23" i="2"/>
  <c r="F23" i="2"/>
  <c r="F22" i="2" s="1"/>
  <c r="G22" i="2" s="1"/>
  <c r="E23" i="2"/>
  <c r="I22" i="2"/>
  <c r="H22" i="2"/>
  <c r="E22" i="2"/>
  <c r="G21" i="2"/>
  <c r="I19" i="2"/>
  <c r="H19" i="2"/>
  <c r="F19" i="2"/>
  <c r="G19" i="2" s="1"/>
  <c r="E19" i="2"/>
  <c r="G18" i="2"/>
  <c r="G15" i="2"/>
  <c r="I14" i="2"/>
  <c r="H14" i="2"/>
  <c r="H13" i="2" s="1"/>
  <c r="F14" i="2"/>
  <c r="G14" i="2" s="1"/>
  <c r="E14" i="2"/>
  <c r="I13" i="2"/>
  <c r="F13" i="2"/>
  <c r="G13" i="2" s="1"/>
  <c r="E13" i="2"/>
  <c r="G12" i="2"/>
  <c r="F11" i="2"/>
  <c r="G11" i="2" s="1"/>
  <c r="G10" i="2" s="1"/>
  <c r="E11" i="2"/>
  <c r="E10" i="2" s="1"/>
  <c r="I10" i="2"/>
  <c r="H10" i="2"/>
  <c r="F10" i="2"/>
  <c r="I8" i="2"/>
  <c r="H8" i="2"/>
  <c r="F8" i="2"/>
  <c r="F7" i="2" s="1"/>
  <c r="E8" i="2"/>
  <c r="I7" i="2"/>
  <c r="I38" i="2" s="1"/>
  <c r="H7" i="2"/>
  <c r="E7" i="2"/>
  <c r="E38" i="2" s="1"/>
  <c r="G81" i="3" l="1"/>
  <c r="F57" i="3"/>
  <c r="G57" i="3" s="1"/>
  <c r="G101" i="3"/>
  <c r="G100" i="3"/>
  <c r="E8" i="3"/>
  <c r="E123" i="3" s="1"/>
  <c r="F8" i="3"/>
  <c r="F44" i="3"/>
  <c r="G44" i="3" s="1"/>
  <c r="G91" i="3"/>
  <c r="G38" i="3"/>
  <c r="G77" i="3"/>
  <c r="H38" i="2"/>
  <c r="G23" i="2"/>
  <c r="F25" i="2"/>
  <c r="G25" i="2" s="1"/>
  <c r="C33" i="1"/>
  <c r="C23" i="1"/>
  <c r="D57" i="1"/>
  <c r="G8" i="3" l="1"/>
  <c r="F123" i="3"/>
  <c r="G123" i="3" s="1"/>
  <c r="F38" i="2"/>
  <c r="G38" i="2" s="1"/>
  <c r="D73" i="1"/>
  <c r="D72" i="1"/>
  <c r="D71" i="1"/>
  <c r="D70" i="1"/>
  <c r="D69" i="1"/>
  <c r="D68" i="1"/>
  <c r="C73" i="1"/>
  <c r="C72" i="1"/>
  <c r="C71" i="1"/>
  <c r="C70" i="1"/>
  <c r="C69" i="1"/>
  <c r="C68" i="1"/>
  <c r="C74" i="1" s="1"/>
  <c r="C67" i="1" s="1"/>
  <c r="C66" i="1" s="1"/>
  <c r="D64" i="1"/>
  <c r="D63" i="1"/>
  <c r="D62" i="1"/>
  <c r="C64" i="1"/>
  <c r="C62" i="1"/>
  <c r="C63" i="1"/>
  <c r="C57" i="1"/>
  <c r="D50" i="1"/>
  <c r="D49" i="1"/>
  <c r="C50" i="1"/>
  <c r="C49" i="1"/>
  <c r="D19" i="1"/>
  <c r="C19" i="1"/>
  <c r="D13" i="1"/>
  <c r="D32" i="1"/>
  <c r="C32" i="1"/>
  <c r="D11" i="1"/>
  <c r="D12" i="1"/>
  <c r="C12" i="1"/>
  <c r="C11" i="1"/>
  <c r="D81" i="1"/>
  <c r="D79" i="1"/>
  <c r="D80" i="1"/>
  <c r="C81" i="1"/>
  <c r="C79" i="1"/>
  <c r="C80" i="1"/>
  <c r="C86" i="1"/>
  <c r="D43" i="1"/>
  <c r="C43" i="1"/>
  <c r="D42" i="1"/>
  <c r="D41" i="1"/>
  <c r="C42" i="1"/>
  <c r="C41" i="1"/>
  <c r="C40" i="1"/>
  <c r="D35" i="1"/>
  <c r="C35" i="1"/>
  <c r="D25" i="1"/>
  <c r="D24" i="1"/>
  <c r="C25" i="1"/>
  <c r="C24" i="1"/>
  <c r="D74" i="1" l="1"/>
  <c r="D67" i="1" s="1"/>
  <c r="D66" i="1" s="1"/>
  <c r="D21" i="1"/>
  <c r="D9" i="1" s="1"/>
  <c r="D47" i="1"/>
  <c r="D59" i="1" s="1"/>
  <c r="D46" i="1" s="1"/>
  <c r="C21" i="1"/>
  <c r="C9" i="1" s="1"/>
  <c r="C47" i="1"/>
  <c r="C59" i="1" s="1"/>
  <c r="C46" i="1" s="1"/>
  <c r="C39" i="1"/>
  <c r="C44" i="1" s="1"/>
  <c r="C38" i="1" s="1"/>
  <c r="D39" i="1"/>
  <c r="D44" i="1" s="1"/>
  <c r="D38" i="1" s="1"/>
  <c r="D37" i="1"/>
  <c r="D34" i="1" s="1"/>
  <c r="C37" i="1"/>
  <c r="C34" i="1" s="1"/>
  <c r="C61" i="1"/>
  <c r="C65" i="1" s="1"/>
  <c r="D84" i="1"/>
  <c r="D87" i="1" s="1"/>
  <c r="D83" i="1" s="1"/>
  <c r="C84" i="1"/>
  <c r="C87" i="1" s="1"/>
  <c r="C83" i="1" s="1"/>
  <c r="D76" i="1"/>
  <c r="D82" i="1" s="1"/>
  <c r="D75" i="1" s="1"/>
  <c r="C76" i="1"/>
  <c r="C82" i="1" s="1"/>
  <c r="C75" i="1" s="1"/>
  <c r="D61" i="1"/>
  <c r="D65" i="1" s="1"/>
  <c r="D33" i="1"/>
  <c r="D22" i="1" s="1"/>
  <c r="C22" i="1"/>
  <c r="D23" i="1"/>
  <c r="C45" i="1" l="1"/>
  <c r="C8" i="1"/>
  <c r="D60" i="1"/>
  <c r="D45" i="1" s="1"/>
  <c r="C60" i="1"/>
  <c r="D8" i="1"/>
  <c r="D6" i="1"/>
  <c r="D5" i="1" s="1"/>
  <c r="C6" i="1"/>
  <c r="C5" i="1" s="1"/>
</calcChain>
</file>

<file path=xl/sharedStrings.xml><?xml version="1.0" encoding="utf-8"?>
<sst xmlns="http://schemas.openxmlformats.org/spreadsheetml/2006/main" count="396" uniqueCount="181">
  <si>
    <t>Plan</t>
  </si>
  <si>
    <t>Wykonanie</t>
  </si>
  <si>
    <t>Uwagi</t>
  </si>
  <si>
    <t>Wydatki bieżące, w tym:</t>
  </si>
  <si>
    <t>świadczenia na rzecz osób fizycznych</t>
  </si>
  <si>
    <t>wynagrodzenia</t>
  </si>
  <si>
    <t>pochodne od wynagrodzeń</t>
  </si>
  <si>
    <t>media, w tym:</t>
  </si>
  <si>
    <t>X</t>
  </si>
  <si>
    <t>gaz</t>
  </si>
  <si>
    <t>energia elektryczna</t>
  </si>
  <si>
    <t>olej opałowy</t>
  </si>
  <si>
    <t xml:space="preserve">woda </t>
  </si>
  <si>
    <t>ścieki</t>
  </si>
  <si>
    <t>pozostałe wydatki bieżące</t>
  </si>
  <si>
    <t>Wydatki inwestycyjne</t>
  </si>
  <si>
    <t>RAZEM</t>
  </si>
  <si>
    <t>Pozostałe wskaźniki</t>
  </si>
  <si>
    <t>liczba orzeczeń Zespołu do spraw orzekania o niepełnosprawność</t>
  </si>
  <si>
    <t>liczba wychowanków poza powiatem                 (z podziałem na placówki opiekuńczo-wychowawcze i rodziny zastępcze)</t>
  </si>
  <si>
    <t>liczba rodzin zastępczych w podziale na ich rodzaj</t>
  </si>
  <si>
    <t>liczba dzieci w rodzinach zastępczych</t>
  </si>
  <si>
    <t xml:space="preserve">liczba osób, podmiotów objętych projektem </t>
  </si>
  <si>
    <t>założenia projektu</t>
  </si>
  <si>
    <t>całkowita wartość projektu</t>
  </si>
  <si>
    <t>stopień zaawansowania</t>
  </si>
  <si>
    <t>osiągnięte efekty</t>
  </si>
  <si>
    <t>przewidziane efekty w dalszej realizacji projektu</t>
  </si>
  <si>
    <t xml:space="preserve">Stan zatrudnienia </t>
  </si>
  <si>
    <t>Pracownicy</t>
  </si>
  <si>
    <t>liczba stanowisk</t>
  </si>
  <si>
    <t>liczba etatów</t>
  </si>
  <si>
    <t>Merytoryczni</t>
  </si>
  <si>
    <t>Administracja</t>
  </si>
  <si>
    <t>Obsługa</t>
  </si>
  <si>
    <t xml:space="preserve">*zadania finansowane środkami z zewnątrz (programy unijne, dofinansowanie z PFRON itd.) należy wyodrębnić podając przy dziale i rozdziale nazwę projektu </t>
  </si>
  <si>
    <t>dział 852, rozdział 85205</t>
  </si>
  <si>
    <t>dział 852, rozdział 85218</t>
  </si>
  <si>
    <t>dział 852, rozdział 85220</t>
  </si>
  <si>
    <t>dział 853, rozdział 85321</t>
  </si>
  <si>
    <t>dział 855, rozdział 85508</t>
  </si>
  <si>
    <t>Wydatki obejmują świadczenia społeczne i dotyczą wypłaconych świadczeń na pomoc miesięczną, kontynuowanie nauki dla dzieci w rodzinach zastępczych</t>
  </si>
  <si>
    <t>dział 855, rozdział 85510</t>
  </si>
  <si>
    <t>Załącznik do uchwały nr XXIV/180/2013
Rady Powiatu w Gryfinie z dnia 23.05.2013 r.</t>
  </si>
  <si>
    <t xml:space="preserve">dział 853, rozdział 85395 </t>
  </si>
  <si>
    <t>dział 853, rozdział 85395
projekt Aktywna integracja w powiecie gryfińskim</t>
  </si>
  <si>
    <t>wynagrodzenia - środki z budżetu środków europejskich</t>
  </si>
  <si>
    <t>wynagrodzenia - dotacja celowa z budżetu państwa</t>
  </si>
  <si>
    <t>pochodne od wynagrodzeń - środki z budżetu środków europejskich</t>
  </si>
  <si>
    <t>pozostałe wydatki bieżące - środki z budżetu środków europejskich</t>
  </si>
  <si>
    <t>pochodne od wynagrodzeń - dotacja celowa z budżetu państwa</t>
  </si>
  <si>
    <t>pozostałe wydatki bieżące - dotacja celowa z budżetu państwa</t>
  </si>
  <si>
    <t>RAZEM dział 853, rozdział 85395</t>
  </si>
  <si>
    <t>Efektem wdrożenia projektu będzie objęcie wsparciem ok. 90 osób, w tym osoby przebywające w pieczy zastępczej, opuszczające pieczę zastępczą i osoby niepełnosprawne. Beneficjenci projektu będą objęci działaniami o charakterze społecznym, edukacyjnym i zawodowym, będą mieli możliwość uzyskania kursów: prawa jazdy, zawodowych i wg indywidualnych potrzeb. Zakładanym efektem realizacji projektu będize uzyskanie pracy przez osoby niepełnosprawne w nowotworzonym ZAZ-ie.</t>
  </si>
  <si>
    <t>Aktywna integracja osób zagrożonych ubóstwem i/lub wykluczeniem społecznym zwiększająca ich zatrudnienie</t>
  </si>
  <si>
    <t>Wydatki dotyczą wypłaconych świadczeń pieniężnych na kontynuowanie nauki przez wychowanków placówek opiekuńczo - wychowawczych</t>
  </si>
  <si>
    <t xml:space="preserve">Powiatowe Centrum Pomocy Rodzinie w Gryfinie - 30.06.2018 r. </t>
  </si>
  <si>
    <t>Projekty zewnętrzne "Niepełnosprawni w pracy - program aktywizacji społeczno-zawodowej osób niepełnosprawnych" nr RPZP.07.01.00-IP.02-32-K615/17</t>
  </si>
  <si>
    <t>Celem głównym projektu jest wyeliminowanie lub zmniejszenie barier ograniczających uczestnictwo beneficjentów w życiu społecznym, zawodowym i dostępie do edukacji</t>
  </si>
  <si>
    <t>dział 853, rozdział 85311</t>
  </si>
  <si>
    <t xml:space="preserve">Wydatek poniesiony na podstawie porozumienia z Miastem Szczecin na koszty rehabilitacji mieszkańca Kołbacza w Warsztacie Terapii Zajęciowej Stowarzyszenia Pomocy w Rozwoju Społecznym i Zawodowym Osób Niepełnosprawnych z siedzibą w Szczecinie </t>
  </si>
  <si>
    <t>różne wydatki na rzecz osób fizycznych</t>
  </si>
  <si>
    <t>Wydatki dotyczą zakupu usług pozostałych, odpisu na ZFŚS Powiatowego Zespołu do Spraw Orzekania o Niepełnosprawności</t>
  </si>
  <si>
    <t>wydatki dotyczą wypłat wynagrodzeń dla powołanych osób w posiedzeniach komisji ds. orzekania o niepełnosprawności lub orzekania o stopniu niepełnosprawności</t>
  </si>
  <si>
    <t xml:space="preserve">Liczba wychowanków w placówkach poza powiatem - 3 osoby. Liczba  wychowanków
w rodzinach zastępczych poza powiatem -15 osób. </t>
  </si>
  <si>
    <t>Rodziny niezawodowe - 26,  Rodziny zawodowe  - 2, Rodziny spokrewnione -82, Rodzinne Domy Dziecka - 2</t>
  </si>
  <si>
    <t>Liczba orzeczeń: dla osób dorosłych - 552, dla dzieci -82</t>
  </si>
  <si>
    <t xml:space="preserve">Wydatki dotyczą porozumień między powiatami z tytułu umieszczenia wychowanków w placówkach opiekuńczo - wychowawczych w innych powiatach - 45 000,00 </t>
  </si>
  <si>
    <t xml:space="preserve">Wydatki dotyczą wkładu własnego powiatu do projektu "Aktywna integracja w powiecie gryfińskim" </t>
  </si>
  <si>
    <r>
      <t>Wydatki dotyczą delegacji specjalistów pracy z rodziną - 4 768,12 zł, pomocy</t>
    </r>
    <r>
      <rPr>
        <sz val="10"/>
        <color rgb="FFFF0000"/>
        <rFont val="Arial"/>
        <family val="2"/>
        <charset val="238"/>
      </rPr>
      <t xml:space="preserve"> </t>
    </r>
    <r>
      <rPr>
        <sz val="10"/>
        <rFont val="Arial"/>
        <family val="2"/>
        <charset val="238"/>
      </rPr>
      <t>rzeczowej na usamodzielnienie - 1 500,00 zł</t>
    </r>
    <r>
      <rPr>
        <sz val="10"/>
        <color rgb="FFFF0000"/>
        <rFont val="Arial"/>
        <family val="2"/>
        <charset val="238"/>
      </rPr>
      <t>,</t>
    </r>
    <r>
      <rPr>
        <sz val="10"/>
        <rFont val="Arial"/>
        <family val="2"/>
        <charset val="238"/>
      </rPr>
      <t xml:space="preserve"> porozumień między powiatami dotyczących umieszczenia dzieci w rodzinach zastępczych w innych powiatach - 80 391,18 zł, różne opłaty i składki - 31,30 zł, zakup środków żywności 382,60 zł, zakup usług pozostałych 7 099,15 oraz odpis na ZFŚS - 
5 299,13 zł</t>
    </r>
  </si>
  <si>
    <t>Wydatki związane z działalnością Ośrodka Interwencji Kryzysowej i udostępnianiem mieszkań chronionych w Chojnie i Gryfinie</t>
  </si>
  <si>
    <t>Wydatki dotyczą opłat za wynajem pomieszczeń (błękitny pokój) i udostępnianiem mieszkań chronionych oraz odpisu na ZFŚS</t>
  </si>
  <si>
    <t>wydatki majątkowe</t>
  </si>
  <si>
    <t>wydatek dotyczy zakupu serwera wraz z oprogramowaniem</t>
  </si>
  <si>
    <t>Wydatki związane z bieżącą działalnością PCPR i dotyczą opłat za telefony stacjonarne, komórkowe i internet - 4 205,12 zł, zakup usług pozostałych - 41 245,60 zł, podróże służbowe -767,20 zł, odpis na ZFŚS - 12 202,93 zł, zakup art. biurowych i środków czystości, materiałów do bieżących remontów, drobnego wyposażenia, publikacji książkowej - 5 214,97 zł, opłat za badania lekarskie - 300,00 zł, szkolenia pracowników - 4 121,41 zł, zakup usług pozostałych: serwisowanie drukarki, wykonanie pieczątek, ogłoszenia prasowe, monitorowanie obiektu, obsługa prawna, informatyczna, dostęp do serwisu prawnego LEX, usługi inspektora ochrony danych osobowych - 41 245,60 zł.</t>
  </si>
  <si>
    <t>świadczenia społeczne</t>
  </si>
  <si>
    <t>wydatki na wypłatę środków pieniężnych dla posiadaczy Karty Polaka</t>
  </si>
  <si>
    <t>Wydatki na realizację pilotażowego programu "Aktywny Samorząd" edycja 2017</t>
  </si>
  <si>
    <t>Wydatki dotyczą projektu Aktywna Integracja w powiecie gryfińskim nr RPZP.07.01.00-32-K420/17. Działanie 7.1 Programy na rzecz integracji osób i rodzin zagrożonych ubóstwem i/lub wykluczeniem społecznym.</t>
  </si>
  <si>
    <t>dział 853, rozdział 85395
projekt Niepełnosprawni w pracy - program aktywizacji społeczno-zawodowej osób niepełnosprawnych</t>
  </si>
  <si>
    <t>50 osób</t>
  </si>
  <si>
    <t xml:space="preserve">Przewidzianych do objęcia wsparciem jest ok. 90 osób </t>
  </si>
  <si>
    <t>31 osób</t>
  </si>
  <si>
    <t>zawarto umowę na świadczenie usług doradztwa zawodowego, w ramach której opracowano 31 Indywidualnych Planów Aktywizacji dla 31 zrekrutowanych uczestników projektu; prowadzenie od czerwca przez psychologa poradnictwa oraz terapii dla uczestników i ich rodzin; pracę rozpoczął również animator KIS, który realizuje zajęcia animacyjno-rozwojowe dla uczestników projektu. Podczas spotkań z TZW, doradcą zawodowym, psychologiem, oraz animatorem KIS uczestnicy projektu mieli zapewnioną przerwę kawową. Spotkania odbywały się w budynkach i pomieszczeniach dostosowanych do potrzeb osób niepełnosprawnych, w przypadku osób, które miały problem z dotarciem na miejsce spotkania, wsparcie było udzielane w miejscu zamieszkania uczestnika projektu. W trakcie zajęć prowadzący używali języka równościowego, dbając o pozytywny i wolny od stereotypów wizerunek kobiet, mężczyzn oraz osób niepełnosprawnych. 
 Jeden z uczestników projektu podjął zatrudnienie.</t>
  </si>
  <si>
    <t>Projekty zewnętrzne "Aktywny samorząd" edycja 2018</t>
  </si>
  <si>
    <t>Projektem objęte są osoby z orzeczonym umiarkowanym i znacznym stopniem niepełnosprawności</t>
  </si>
  <si>
    <t>Zrealizowano 20 wniosków, które umożliwiły dofinansowanie do uzyskania wykształcenia na poziomie wyższym</t>
  </si>
  <si>
    <t>W dalszej realizacji projektu przewidziano poprawę szans beneficjentów programu na rywalizację o zatrudnienie na otwartym rynku pracy poprzez podwyższanie kwalifikacji,oraz wyeliminowanie barier ograniczających uczestnnictwo beneficjenta pomocy w zyciu społecznym, zawodowym poprzez przygotowanie do pełnienia różnych ról społecznych oraz włączenia się do tworzącego się społeczeństwa informacyjnego.</t>
  </si>
  <si>
    <t>W ramach realizacji "Programu korekcyjno-edukacyjnego dla sprawców przemocy w rodzinie" w pierwszej edycji wydatkowano środki na przeprowadzenie grupowych zajęć korekcyjno-edukacyjnych w formie warsztatów, zakup środków żywności oraz obsługę programu</t>
  </si>
  <si>
    <t>odprawa emerytalna - 24 840,00 zł; nagroda jubileuszowa - 2 606,10 zł</t>
  </si>
  <si>
    <t>Projekty zewnętrzne "Aktywna integracja w powiecie gryfińskim" nr RPZP.07.01.00-32-K420/17</t>
  </si>
  <si>
    <t>Efektem wdrożenia projektu będzie objęcie wsparciem ok. 60 osób niepełnosprawnych. Beneficjenci projektu będą objęci działaniami o charakterze społecznym, edukacyjnym i zawodowym. Zakładanym efektem realizacji projektu będzie uzyskanie pracy przez osoby niepełnosprawne w nowotworzonym ZAZ-ie.</t>
  </si>
  <si>
    <t xml:space="preserve">Wydatki dotyczą opłat utrzymania Ośrodka Informacji Osób Niepełnosprawnych w Chojnie </t>
  </si>
  <si>
    <t>Wydatki dotyczą: opłat za usługi telefoniczne i internet - 593,94 zł, odpisu na ZFŚS - 1 445,44 zł, zakupu usług pozostałych na utrzymanie Ośrodka Informacji Osób Niepełnosprawnych w Chojnie (sprzątanie, śmieci, monitorowanie obiektu) - 253,29 zł, zakupu materiałów, środków czystości - 8 209,09 zł oraz realizacji programu "Aktywny Samorząd" - dofinansowanie do  uzyskania wykształcenia na poziomie wyższym - 60 984,00 zł</t>
  </si>
  <si>
    <t xml:space="preserve">Wydatki dotyczą projektu Niepełnosprawni w pracy - program aktywizacji społeczno-zawodowej osób niepełnosprawnych nr RPZP.07.01.00-IP.02-32-K615/17. Działanie 7.1 Programy na rzecz integracji osób i rodzin zagrożonych ubóstwem i/lub wykluczeniem społecznym: zatrudniono na umowę o pracę 2 Trenerów Zatrudnienia Wspieranego (po 1/2
 etatu), którzy podpisali z 30 uczestnikami umowy na zasadzie kontraktu socjalnego, wydatki na dojazdy 2 Trenerów Zatrudnienia Wspieranego do uczestników projektu, wydatki na zakup produktów spożywczych na potrzeby zorganizowania przerw kawowych podczas udzielania wsparcia uczestnikom projektu, zakupiono materiały szkoleniowe dla uczestników projektu (teczka, notes, długopis), które zostaną przekazane uczestnikom. </t>
  </si>
  <si>
    <t xml:space="preserve">W pierwszej edycji projektu wsparciem objętych zostało 16 dzieci i młodzieży z pieczy zastępczej oraz 34 osoby dorosłe niepełnosprawne. Przeprowadzono: 
• treningi kompetencji społecznych dla 34 uczestników projektu osób niepełnosprawnych. 
• warsztaty edukacyjne w zakresie: ogrodnictwa - dla 2 osób, florystyki – dla 6 osób,, gotowania – dla 5 osób, kadr i płac dla 2 osób, fotografii – dla 1 osoby, warsztatów manualnych – dla 1 osoby, stolarstwa – dla 1 osoby. 
• w okresie od kwietnia do maja 2018 - korepetycje dla 11 dzieci z pieczy zastępczej, będących uczestnikami projektu, które mają trudności w nauce w następujących przedmiotach: matematyka, chemia, język polski, język angielski, język niemiecki. 
Wykonawca - „Moc Biznesu” z Wrocławia - zorganizował wyjazdowe warsztaty socjoterapeutyczne dla niepełnosprawnych uczestników projektu. Zrealizowano treningi kompetencji społecznych dla 34 uczestników projektu (osoby niepełnosprawne) o tematyce:
• PSYCHOLOGICZNE PROBLEMY OSÓB NIEPEŁNOSPRAWNYCH,• POTRZEBY I OCZEKIWANIA OSÓB NIEPEŁNOSPRAWNYCH,• MOJE MYŚLI MOJE ŻYCIE. Zorganizowano warsztaty prowadzone przez 5 specjalistów/trenerów o tematyce:• "Efektywne sposoby rozwiązywania konfliktu" • "Komunikacja interpersonalna - sztuka porozumiewania się" • "Techniki szybkiego uczenia się"• "Komunikacja z uwzględnieniem porozumiewania się w sytuacjach trudnych" , • "Dawanie i branie w relacjach międzyludzkich" ,
• "Sposoby radzenia sobie ze stresem" • „Okres dojrzewania dziewcząt i chłopców, czyli jak rozmawiać z nastolatkiem o seksie?” - dla 16 uczestników projektu dzieci i młodzież z pieczy zastępczej, • „Autoprezentacja i radzenie sobie ze stresem” dla 11 uczestników projektu - osoby niepełnosprawne,• „Potrzebować – znaczy chcieć. Jak rozpoznawać i realizować potrzeby w swoim życiu” – dla 12 niepełnosprawnych uczestników projektu,• „Motywacja i styl życia” – dla 11 niepełnosprawnych uczestników projektu, • „Doskonalenie kompetencji osobistych- praca nad sobą , a powodzenie na rynku pracy” - dla 11 niepełnosprawnych uczestników projektu,• „Wyrażanie gniewu i złości – jak radzić sobie z trudnymi emocjami?” – dla 12 niepełnosprawnych uczestników projektu, • „Emocje i psychologia jedzenia” dla 11 niepełnosprawnych uczestników projektu. 
Dla wszystkich uczestników powyższych warsztatów zapewniono dowóz w obie strony oraz ciepły posiłek podczas warsztatów. Zajęcia odbywały się w budynkach i pomieszczeniach dostosowanych do potrzeb osób niepełnosprawnych, jednemu uczestnikowi (osobie niepełnosprawnej) zapewniono transport specjalistyczny.  
W ramach wsparcia towarzyszącego, w związku z warsztatami, poniesiono koszty transportu i cateringu dla 6 opiekunów, uczestników projektu - osób niepełnosprawnych poruszających się na wózkach inwalidzkich. </t>
  </si>
  <si>
    <t>Załącznik do informacji opisowej do wykonania dochodów w Powiatowym Centrum Pomocy Rodzinie 
w Gryfinie na dzień 30.06.2018 r.</t>
  </si>
  <si>
    <t>Wykonanie dochodów planu finansowego Powiatowego Centrum Pomocy Rodzinie za I półrocze 2018 roku</t>
  </si>
  <si>
    <t>Dział</t>
  </si>
  <si>
    <t>Rozdział</t>
  </si>
  <si>
    <t>§</t>
  </si>
  <si>
    <t>Źródło dochodów</t>
  </si>
  <si>
    <t>Plan
2018 r.                                         (w zł)</t>
  </si>
  <si>
    <t>Wykonanie planu 2018            
(w zł)</t>
  </si>
  <si>
    <t>Wykonanie planu                               (w %)</t>
  </si>
  <si>
    <t>Należności 2018                         (w zł)</t>
  </si>
  <si>
    <t>Należności wymagalne 2018                           (w zł)</t>
  </si>
  <si>
    <t>-</t>
  </si>
  <si>
    <t>Gospodarka mieszkaniowa</t>
  </si>
  <si>
    <t>Gospodarka gruntami i nieruchomościami</t>
  </si>
  <si>
    <t>0750</t>
  </si>
  <si>
    <t>Wpływy z najmu i dzierżawy składników majątkowych Skarbu Państwa, jednostek samorządu terytorialnego lub innych jednostek zaliczanych do sektora finansów publicznych oraz innych umów o podobnym charakterze</t>
  </si>
  <si>
    <t>Różne rozliczenia</t>
  </si>
  <si>
    <t>Różne rozliczenia finansowe</t>
  </si>
  <si>
    <t>0920</t>
  </si>
  <si>
    <t>Wpływy z pozostałych odsetek</t>
  </si>
  <si>
    <t>Pomoc społeczna</t>
  </si>
  <si>
    <t>Domy pomocy społecznej</t>
  </si>
  <si>
    <t>0830</t>
  </si>
  <si>
    <t>Wpływy z usług</t>
  </si>
  <si>
    <t>0960</t>
  </si>
  <si>
    <t>Wpływy z otrzymanych spadków, zapisów i darowizn w postaci pieniężnej</t>
  </si>
  <si>
    <t>0970</t>
  </si>
  <si>
    <t>Wpływy z różnych dochodów</t>
  </si>
  <si>
    <t>2900</t>
  </si>
  <si>
    <t>Wpływy z wpłat  gmin i powiatów na rzecz innych jednostek samorządu terytorialnego oraz związków gmin, związków powiatowo-gminnych, związków powiatów, związków metropolitalnych na dofinansowanie zadań bieżących</t>
  </si>
  <si>
    <t>Powiatowe centra pomocy rodzinie</t>
  </si>
  <si>
    <t>Pozostałe zadania w zakresie polityki społecznej</t>
  </si>
  <si>
    <t>Państwowy Fundusz Rehabilitacji Osób Niepełnosprawnych</t>
  </si>
  <si>
    <t>Rodzina</t>
  </si>
  <si>
    <t>Rodziny zastępcze</t>
  </si>
  <si>
    <t>0640</t>
  </si>
  <si>
    <t>Wpływy z tytułu kosztów egzekucyjnych, opłaty komorniczej i kosztów upomnień</t>
  </si>
  <si>
    <t>0690</t>
  </si>
  <si>
    <t>Wpływy z różnych opłat</t>
  </si>
  <si>
    <t>0940</t>
  </si>
  <si>
    <t>Wpływy z rozliczeń/zwrotów z lat ubiegłych</t>
  </si>
  <si>
    <t>Działalność placówek opiekuńczo-wychowawczych</t>
  </si>
  <si>
    <t>Dochody ogółem</t>
  </si>
  <si>
    <t>Załącznik do informacji opisowej do wykonania wydatków w Powiatowym Centrum Pomocy Rodzinie w Gryfinie na dzień 30.06.2018 r.</t>
  </si>
  <si>
    <t>Wykonanie wydatków planu finansowego Powiatowego Centrum Pomocy Rodzinie za I pórocze 2018 roku</t>
  </si>
  <si>
    <t>Nazwa</t>
  </si>
  <si>
    <t>Wykonanie planu 2018                             (w zł)</t>
  </si>
  <si>
    <t>Zobowiązania 2018                              (w zł)</t>
  </si>
  <si>
    <t>Zobowiązania wymagalne 2018                           (w zł)</t>
  </si>
  <si>
    <t>Zadania w zakresie przeciwdziałania przemocy w rodzinie</t>
  </si>
  <si>
    <t xml:space="preserve">Wynagrodzenia bezosobowe </t>
  </si>
  <si>
    <t>Zakup materiałów i wyposażenia</t>
  </si>
  <si>
    <t>Zakup środków żywności</t>
  </si>
  <si>
    <t>Zakup usług pozostałych</t>
  </si>
  <si>
    <t>Wydatki osobowe niezaliczone do wynagrodzeń</t>
  </si>
  <si>
    <t>Wynagrodzenia osobowe pracowników</t>
  </si>
  <si>
    <t>Dodatkowe wynagrodzenie roczne</t>
  </si>
  <si>
    <t>Składki na ubezpieczenia społeczne</t>
  </si>
  <si>
    <t>Składki na Fundusz Pracy</t>
  </si>
  <si>
    <t xml:space="preserve">Razem wynagrodzenia z pochodnymi </t>
  </si>
  <si>
    <t>Zakup usług zdrowotnych</t>
  </si>
  <si>
    <t xml:space="preserve">Opłaty z tytułu zakupu usług telekomunikacyjnych </t>
  </si>
  <si>
    <t>Podróże służbowe krajowe</t>
  </si>
  <si>
    <t>Różne opłaty i składki</t>
  </si>
  <si>
    <t>Odpisy na zakładowy fundusz świadczeń socjalnych</t>
  </si>
  <si>
    <t>Podatek od nieruchomości</t>
  </si>
  <si>
    <t>Koszty postępowania sądowego i prokuratorskiego</t>
  </si>
  <si>
    <t>Szkolenia pracowników niebędących członkami korpusu służby cywilnej</t>
  </si>
  <si>
    <t>Wydatki na zakupy inwestycyjne jednostek budżetowych</t>
  </si>
  <si>
    <t>Jednostki specjalistycznego poradnictwa, mieszkania chronione i ośrodki interwencji kryzysowej</t>
  </si>
  <si>
    <t>Zakup energii</t>
  </si>
  <si>
    <t>Opłaty za administrowanie i czynsze za budynki, lokale i pomieszczenia garażowe</t>
  </si>
  <si>
    <t xml:space="preserve">Opłaty na rzecz budżetów jednostek samorządu terytorialnego </t>
  </si>
  <si>
    <t>Rehabilitacja zawodowa i społeczna osób niepełnosprawnych</t>
  </si>
  <si>
    <t>Zakup usług przez jednostki samorządu terytorialnego od innych jednostek samorządu terytorialnego</t>
  </si>
  <si>
    <t>Zespoły do spraw orzekania o niepełnosprawności</t>
  </si>
  <si>
    <t>Różne wydatki na rzecz osób fizycznych</t>
  </si>
  <si>
    <t>Pozostała działalność</t>
  </si>
  <si>
    <t>Świadczenia społeczne</t>
  </si>
  <si>
    <t>Projekt Aktywna integracja w powiecie gryfiskim</t>
  </si>
  <si>
    <t>RAZEM projekt Aktywna integracja w powiecie gryfiskim</t>
  </si>
  <si>
    <t>Projekt Niepełnosprawni w pracy</t>
  </si>
  <si>
    <t>RAZEM projekt Niepełnosprawni w pracy</t>
  </si>
  <si>
    <t>Podróże służbowe zagraniczne</t>
  </si>
  <si>
    <t>Wydatki ogółem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</si>
</sst>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 #,##0\ &quot;zł&quot;_-;\-* #,##0\ &quot;zł&quot;_-;_-* &quot;-&quot;\ &quot;zł&quot;_-;_-@_-"/>
    <numFmt numFmtId="164" formatCode="#,##0.00\ &quot;zł&quot;"/>
  </numFmts>
  <fonts count="19" x14ac:knownFonts="1">
    <font>
      <sz val="10"/>
      <name val="Arial"/>
      <charset val="238"/>
    </font>
    <font>
      <sz val="11"/>
      <color theme="1"/>
      <name val="Calibri"/>
      <family val="2"/>
      <charset val="238"/>
      <scheme val="minor"/>
    </font>
    <font>
      <sz val="10"/>
      <name val="Arial"/>
      <family val="2"/>
      <charset val="238"/>
    </font>
    <font>
      <b/>
      <sz val="12"/>
      <name val="Arial"/>
      <family val="2"/>
      <charset val="238"/>
    </font>
    <font>
      <b/>
      <sz val="10"/>
      <name val="Arial"/>
      <family val="2"/>
      <charset val="238"/>
    </font>
    <font>
      <b/>
      <sz val="10"/>
      <color rgb="FFFF0000"/>
      <name val="Arial"/>
      <family val="2"/>
      <charset val="238"/>
    </font>
    <font>
      <sz val="10"/>
      <color rgb="FFFF0000"/>
      <name val="Arial"/>
      <family val="2"/>
      <charset val="238"/>
    </font>
    <font>
      <i/>
      <sz val="10"/>
      <color rgb="FFFF0000"/>
      <name val="Arial"/>
      <family val="2"/>
      <charset val="238"/>
    </font>
    <font>
      <i/>
      <sz val="10"/>
      <name val="Arial"/>
      <family val="2"/>
      <charset val="238"/>
    </font>
    <font>
      <b/>
      <i/>
      <sz val="10"/>
      <name val="Arial"/>
      <family val="2"/>
      <charset val="238"/>
    </font>
    <font>
      <sz val="9"/>
      <name val="Arial"/>
      <family val="2"/>
      <charset val="238"/>
    </font>
    <font>
      <sz val="10"/>
      <color theme="1"/>
      <name val="Calibri"/>
      <family val="2"/>
      <charset val="238"/>
      <scheme val="minor"/>
    </font>
    <font>
      <b/>
      <sz val="12"/>
      <name val="Cambria"/>
      <family val="1"/>
      <charset val="238"/>
    </font>
    <font>
      <sz val="10"/>
      <name val="Cambria"/>
      <family val="1"/>
      <charset val="238"/>
    </font>
    <font>
      <b/>
      <sz val="10"/>
      <name val="Cambria"/>
      <family val="1"/>
      <charset val="238"/>
    </font>
    <font>
      <i/>
      <sz val="10"/>
      <name val="Cambria"/>
      <family val="1"/>
      <charset val="238"/>
    </font>
    <font>
      <sz val="14"/>
      <name val="Cambria"/>
      <family val="1"/>
      <charset val="238"/>
    </font>
    <font>
      <i/>
      <sz val="8"/>
      <name val="Cambria"/>
      <family val="1"/>
      <charset val="238"/>
    </font>
    <font>
      <sz val="9"/>
      <name val="Cambria"/>
      <family val="1"/>
      <charset val="238"/>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2"/>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s>
  <borders count="1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217">
    <xf numFmtId="0" fontId="0" fillId="0" borderId="0" xfId="0"/>
    <xf numFmtId="0" fontId="0" fillId="0" borderId="0" xfId="0" applyAlignment="1"/>
    <xf numFmtId="0" fontId="4" fillId="0" borderId="4" xfId="0" applyFont="1" applyBorder="1" applyAlignment="1">
      <alignment wrapText="1"/>
    </xf>
    <xf numFmtId="0" fontId="0" fillId="0" borderId="0" xfId="0" applyBorder="1" applyAlignment="1">
      <alignment wrapText="1"/>
    </xf>
    <xf numFmtId="0" fontId="0" fillId="0" borderId="0" xfId="0" applyBorder="1"/>
    <xf numFmtId="4" fontId="0" fillId="0" borderId="0" xfId="0" applyNumberFormat="1" applyBorder="1" applyAlignment="1">
      <alignment wrapText="1"/>
    </xf>
    <xf numFmtId="0" fontId="2" fillId="0" borderId="0" xfId="0" applyFont="1" applyAlignment="1">
      <alignment wrapText="1"/>
    </xf>
    <xf numFmtId="0" fontId="0" fillId="0" borderId="0" xfId="0" applyAlignment="1">
      <alignment wrapText="1"/>
    </xf>
    <xf numFmtId="0" fontId="6" fillId="2" borderId="4" xfId="0" applyFont="1" applyFill="1" applyBorder="1" applyAlignment="1">
      <alignment wrapText="1"/>
    </xf>
    <xf numFmtId="0" fontId="7" fillId="0" borderId="4" xfId="0" applyFont="1" applyBorder="1" applyAlignment="1">
      <alignment wrapText="1"/>
    </xf>
    <xf numFmtId="0" fontId="6" fillId="0" borderId="4" xfId="0" applyFont="1" applyBorder="1" applyAlignment="1">
      <alignment wrapText="1"/>
    </xf>
    <xf numFmtId="4" fontId="6" fillId="0" borderId="4" xfId="0" applyNumberFormat="1" applyFont="1" applyBorder="1" applyAlignment="1">
      <alignment wrapText="1"/>
    </xf>
    <xf numFmtId="0" fontId="6" fillId="0" borderId="6" xfId="0" applyFont="1" applyBorder="1"/>
    <xf numFmtId="0" fontId="6" fillId="0" borderId="6" xfId="0" applyFont="1" applyBorder="1" applyAlignment="1">
      <alignment vertical="top" wrapText="1"/>
    </xf>
    <xf numFmtId="0" fontId="5" fillId="3" borderId="3" xfId="0" applyFont="1" applyFill="1" applyBorder="1" applyAlignment="1">
      <alignment horizontal="left" wrapText="1"/>
    </xf>
    <xf numFmtId="0" fontId="5" fillId="3" borderId="4" xfId="0" applyFont="1" applyFill="1" applyBorder="1" applyAlignment="1">
      <alignment wrapText="1"/>
    </xf>
    <xf numFmtId="0" fontId="6" fillId="0" borderId="7" xfId="0" applyFont="1" applyBorder="1" applyAlignment="1">
      <alignment vertical="top" wrapText="1"/>
    </xf>
    <xf numFmtId="0" fontId="6" fillId="0" borderId="4" xfId="0" applyFont="1" applyBorder="1" applyAlignment="1">
      <alignment vertical="center" wrapText="1"/>
    </xf>
    <xf numFmtId="0" fontId="7" fillId="0" borderId="4" xfId="0" applyFont="1" applyBorder="1" applyAlignment="1">
      <alignment vertical="center" wrapText="1"/>
    </xf>
    <xf numFmtId="0" fontId="6" fillId="2" borderId="4" xfId="0" applyFont="1" applyFill="1" applyBorder="1"/>
    <xf numFmtId="0" fontId="6" fillId="0" borderId="4" xfId="0" applyFont="1" applyBorder="1"/>
    <xf numFmtId="0" fontId="6" fillId="0" borderId="0" xfId="0" applyFont="1" applyBorder="1"/>
    <xf numFmtId="0" fontId="6" fillId="0" borderId="0" xfId="0" applyFont="1" applyBorder="1" applyAlignment="1">
      <alignment horizontal="center"/>
    </xf>
    <xf numFmtId="0" fontId="4" fillId="0" borderId="4" xfId="0" applyFont="1" applyBorder="1" applyAlignment="1">
      <alignment horizontal="center" wrapText="1"/>
    </xf>
    <xf numFmtId="0" fontId="2" fillId="0" borderId="4" xfId="0" applyFont="1" applyBorder="1" applyAlignment="1">
      <alignment wrapText="1"/>
    </xf>
    <xf numFmtId="0" fontId="2" fillId="0" borderId="4" xfId="0" applyFont="1" applyBorder="1" applyAlignment="1">
      <alignment horizontal="left" vertical="center" wrapText="1"/>
    </xf>
    <xf numFmtId="0" fontId="2" fillId="0" borderId="2" xfId="0" applyFont="1" applyBorder="1" applyAlignment="1">
      <alignment horizontal="left" wrapText="1"/>
    </xf>
    <xf numFmtId="4" fontId="2" fillId="2" borderId="4" xfId="0" applyNumberFormat="1" applyFont="1" applyFill="1" applyBorder="1" applyAlignment="1">
      <alignment wrapText="1"/>
    </xf>
    <xf numFmtId="0" fontId="2" fillId="2" borderId="4" xfId="0" applyFont="1" applyFill="1" applyBorder="1" applyAlignment="1">
      <alignment wrapText="1"/>
    </xf>
    <xf numFmtId="4" fontId="8" fillId="0" borderId="4" xfId="0" applyNumberFormat="1" applyFont="1" applyBorder="1" applyAlignment="1">
      <alignment wrapText="1"/>
    </xf>
    <xf numFmtId="0" fontId="8" fillId="0" borderId="4" xfId="0" applyFont="1" applyBorder="1" applyAlignment="1">
      <alignment wrapText="1"/>
    </xf>
    <xf numFmtId="4" fontId="2" fillId="0" borderId="4" xfId="0" applyNumberFormat="1" applyFont="1" applyBorder="1" applyAlignment="1">
      <alignment horizontal="right" vertical="center" wrapText="1"/>
    </xf>
    <xf numFmtId="4" fontId="2" fillId="0" borderId="4" xfId="0" applyNumberFormat="1" applyFont="1" applyBorder="1" applyAlignment="1">
      <alignment vertical="center" wrapText="1"/>
    </xf>
    <xf numFmtId="4" fontId="2" fillId="0" borderId="4" xfId="0" applyNumberFormat="1" applyFont="1" applyBorder="1" applyAlignment="1">
      <alignment wrapText="1"/>
    </xf>
    <xf numFmtId="0" fontId="2" fillId="0" borderId="4" xfId="0" applyFont="1" applyFill="1" applyBorder="1" applyAlignment="1">
      <alignment wrapText="1"/>
    </xf>
    <xf numFmtId="0" fontId="4" fillId="3" borderId="2" xfId="0" applyFont="1" applyFill="1" applyBorder="1" applyAlignment="1">
      <alignment horizontal="left" wrapText="1"/>
    </xf>
    <xf numFmtId="0" fontId="4" fillId="3" borderId="3" xfId="0" applyFont="1" applyFill="1" applyBorder="1" applyAlignment="1">
      <alignment horizontal="left" wrapText="1"/>
    </xf>
    <xf numFmtId="4" fontId="4" fillId="3" borderId="4" xfId="0" applyNumberFormat="1" applyFont="1" applyFill="1" applyBorder="1" applyAlignment="1">
      <alignment wrapText="1"/>
    </xf>
    <xf numFmtId="0" fontId="4" fillId="3" borderId="4" xfId="0" applyFont="1" applyFill="1" applyBorder="1" applyAlignment="1">
      <alignment wrapText="1"/>
    </xf>
    <xf numFmtId="0" fontId="8" fillId="0" borderId="3" xfId="0" applyFont="1" applyBorder="1" applyAlignment="1">
      <alignment horizontal="left" wrapText="1"/>
    </xf>
    <xf numFmtId="0" fontId="8" fillId="0" borderId="4" xfId="0" applyFont="1" applyBorder="1"/>
    <xf numFmtId="0" fontId="2" fillId="0" borderId="4" xfId="0" applyFont="1" applyBorder="1"/>
    <xf numFmtId="4" fontId="4" fillId="2" borderId="8" xfId="0" applyNumberFormat="1" applyFont="1" applyFill="1" applyBorder="1" applyAlignment="1">
      <alignment wrapText="1"/>
    </xf>
    <xf numFmtId="4" fontId="4" fillId="2" borderId="3" xfId="0" applyNumberFormat="1" applyFont="1" applyFill="1" applyBorder="1" applyAlignment="1">
      <alignment wrapText="1"/>
    </xf>
    <xf numFmtId="0" fontId="4" fillId="2" borderId="4" xfId="0" applyFont="1" applyFill="1" applyBorder="1" applyAlignment="1">
      <alignment wrapText="1"/>
    </xf>
    <xf numFmtId="0" fontId="8" fillId="0" borderId="7" xfId="0" applyFont="1" applyBorder="1" applyAlignment="1">
      <alignment vertical="center" wrapText="1"/>
    </xf>
    <xf numFmtId="0" fontId="2" fillId="0" borderId="0" xfId="0" applyFont="1" applyAlignment="1"/>
    <xf numFmtId="0" fontId="2" fillId="0" borderId="5" xfId="0" applyFont="1" applyBorder="1" applyAlignment="1">
      <alignment vertical="top" wrapText="1"/>
    </xf>
    <xf numFmtId="4" fontId="2" fillId="0" borderId="4" xfId="0" applyNumberFormat="1" applyFont="1" applyBorder="1" applyAlignment="1">
      <alignment horizontal="center" wrapText="1"/>
    </xf>
    <xf numFmtId="0" fontId="2" fillId="0" borderId="6" xfId="0" applyFont="1" applyBorder="1"/>
    <xf numFmtId="0" fontId="2" fillId="0" borderId="6" xfId="0" applyFont="1" applyBorder="1" applyAlignment="1">
      <alignment vertical="top" wrapText="1"/>
    </xf>
    <xf numFmtId="0" fontId="2" fillId="0" borderId="9" xfId="0" applyFont="1" applyBorder="1" applyAlignment="1">
      <alignment vertical="top" wrapText="1"/>
    </xf>
    <xf numFmtId="0" fontId="2" fillId="0" borderId="0" xfId="0" applyFont="1" applyBorder="1" applyAlignment="1">
      <alignment vertical="top" wrapText="1"/>
    </xf>
    <xf numFmtId="0" fontId="2" fillId="0" borderId="5" xfId="0" applyFont="1" applyBorder="1" applyAlignment="1">
      <alignment vertical="center" wrapText="1"/>
    </xf>
    <xf numFmtId="0" fontId="2" fillId="0" borderId="7" xfId="0" applyFont="1" applyBorder="1" applyAlignment="1">
      <alignment vertical="center" wrapText="1"/>
    </xf>
    <xf numFmtId="4" fontId="2" fillId="0" borderId="4" xfId="0" applyNumberFormat="1" applyFont="1" applyBorder="1" applyAlignment="1">
      <alignment horizontal="center" vertical="center" wrapText="1"/>
    </xf>
    <xf numFmtId="4" fontId="4" fillId="2" borderId="4" xfId="0" applyNumberFormat="1" applyFont="1" applyFill="1" applyBorder="1" applyAlignment="1">
      <alignment wrapText="1"/>
    </xf>
    <xf numFmtId="4" fontId="9" fillId="2" borderId="4" xfId="0" applyNumberFormat="1" applyFont="1" applyFill="1" applyBorder="1" applyAlignment="1">
      <alignment wrapText="1"/>
    </xf>
    <xf numFmtId="0" fontId="2" fillId="0" borderId="4" xfId="0" applyFont="1" applyBorder="1" applyAlignment="1">
      <alignment vertical="center" wrapText="1"/>
    </xf>
    <xf numFmtId="0" fontId="8" fillId="0" borderId="4" xfId="0" applyFont="1" applyBorder="1" applyAlignment="1">
      <alignment vertical="center" wrapText="1"/>
    </xf>
    <xf numFmtId="0" fontId="7" fillId="0" borderId="5" xfId="0" applyFont="1" applyBorder="1" applyAlignment="1">
      <alignment vertical="center" wrapText="1"/>
    </xf>
    <xf numFmtId="0" fontId="1" fillId="0" borderId="0" xfId="1"/>
    <xf numFmtId="0" fontId="13" fillId="0" borderId="0" xfId="1" applyFont="1" applyAlignment="1">
      <alignment horizontal="center"/>
    </xf>
    <xf numFmtId="49" fontId="13" fillId="0" borderId="0" xfId="1" applyNumberFormat="1" applyFont="1" applyAlignment="1">
      <alignment horizontal="center"/>
    </xf>
    <xf numFmtId="0" fontId="13" fillId="0" borderId="0" xfId="1" applyFont="1" applyAlignment="1">
      <alignment wrapText="1"/>
    </xf>
    <xf numFmtId="42" fontId="13" fillId="0" borderId="0" xfId="1" applyNumberFormat="1" applyFont="1" applyAlignment="1">
      <alignment horizontal="center"/>
    </xf>
    <xf numFmtId="0" fontId="13" fillId="0" borderId="0" xfId="1" applyFont="1"/>
    <xf numFmtId="0" fontId="13" fillId="0" borderId="4" xfId="1" applyFont="1" applyBorder="1" applyAlignment="1">
      <alignment horizontal="center" vertical="center"/>
    </xf>
    <xf numFmtId="49" fontId="13" fillId="0" borderId="4" xfId="1" applyNumberFormat="1" applyFont="1" applyBorder="1" applyAlignment="1">
      <alignment horizontal="center" vertical="center"/>
    </xf>
    <xf numFmtId="0" fontId="13" fillId="0" borderId="4" xfId="1" applyFont="1" applyBorder="1" applyAlignment="1">
      <alignment horizontal="center" vertical="center" wrapText="1"/>
    </xf>
    <xf numFmtId="0" fontId="13" fillId="0" borderId="4" xfId="1" applyNumberFormat="1" applyFont="1" applyBorder="1" applyAlignment="1">
      <alignment horizontal="center" vertical="center"/>
    </xf>
    <xf numFmtId="0" fontId="15" fillId="0" borderId="4" xfId="1" applyFont="1" applyBorder="1" applyAlignment="1">
      <alignment horizontal="center" vertical="center" wrapText="1"/>
    </xf>
    <xf numFmtId="0" fontId="14" fillId="4" borderId="4" xfId="1" applyFont="1" applyFill="1" applyBorder="1" applyAlignment="1">
      <alignment horizontal="center" vertical="center"/>
    </xf>
    <xf numFmtId="49" fontId="14" fillId="4" borderId="4" xfId="1" applyNumberFormat="1" applyFont="1" applyFill="1" applyBorder="1" applyAlignment="1">
      <alignment horizontal="center" vertical="center"/>
    </xf>
    <xf numFmtId="0" fontId="14" fillId="4" borderId="4" xfId="1" applyFont="1" applyFill="1" applyBorder="1" applyAlignment="1">
      <alignment vertical="center" wrapText="1"/>
    </xf>
    <xf numFmtId="4" fontId="14" fillId="5" borderId="4" xfId="1" applyNumberFormat="1" applyFont="1" applyFill="1" applyBorder="1" applyAlignment="1">
      <alignment horizontal="right" vertical="center"/>
    </xf>
    <xf numFmtId="10" fontId="14" fillId="5" borderId="4" xfId="1" applyNumberFormat="1" applyFont="1" applyFill="1" applyBorder="1" applyAlignment="1">
      <alignment horizontal="right" vertical="center"/>
    </xf>
    <xf numFmtId="0" fontId="14" fillId="0" borderId="4" xfId="1" applyFont="1" applyBorder="1" applyAlignment="1">
      <alignment horizontal="center" vertical="center"/>
    </xf>
    <xf numFmtId="49" fontId="14" fillId="0" borderId="4" xfId="1" applyNumberFormat="1" applyFont="1" applyBorder="1" applyAlignment="1">
      <alignment horizontal="center" vertical="center"/>
    </xf>
    <xf numFmtId="0" fontId="14" fillId="0" borderId="4" xfId="1" applyFont="1" applyBorder="1" applyAlignment="1">
      <alignment vertical="center" wrapText="1"/>
    </xf>
    <xf numFmtId="4" fontId="14" fillId="0" borderId="4" xfId="1" applyNumberFormat="1" applyFont="1" applyBorder="1" applyAlignment="1">
      <alignment horizontal="right" vertical="center"/>
    </xf>
    <xf numFmtId="10" fontId="14" fillId="0" borderId="4" xfId="1" applyNumberFormat="1" applyFont="1" applyBorder="1" applyAlignment="1">
      <alignment horizontal="right" vertical="center"/>
    </xf>
    <xf numFmtId="0" fontId="13" fillId="0" borderId="4" xfId="1" applyFont="1" applyBorder="1" applyAlignment="1">
      <alignment vertical="center" wrapText="1" shrinkToFit="1"/>
    </xf>
    <xf numFmtId="4" fontId="13" fillId="0" borderId="4" xfId="1" applyNumberFormat="1" applyFont="1" applyBorder="1" applyAlignment="1">
      <alignment horizontal="right" vertical="center"/>
    </xf>
    <xf numFmtId="4" fontId="13" fillId="0" borderId="4" xfId="1" applyNumberFormat="1" applyFont="1" applyFill="1" applyBorder="1" applyAlignment="1">
      <alignment horizontal="right" vertical="center"/>
    </xf>
    <xf numFmtId="10" fontId="13" fillId="0" borderId="4" xfId="1" applyNumberFormat="1" applyFont="1" applyBorder="1" applyAlignment="1">
      <alignment horizontal="right" vertical="center" wrapText="1"/>
    </xf>
    <xf numFmtId="0" fontId="14" fillId="5" borderId="4" xfId="1" applyFont="1" applyFill="1" applyBorder="1" applyAlignment="1">
      <alignment horizontal="center" vertical="center"/>
    </xf>
    <xf numFmtId="0" fontId="13" fillId="5" borderId="4" xfId="1" applyFont="1" applyFill="1" applyBorder="1" applyAlignment="1">
      <alignment horizontal="center" vertical="center"/>
    </xf>
    <xf numFmtId="49" fontId="13" fillId="5" borderId="4" xfId="1" applyNumberFormat="1" applyFont="1" applyFill="1" applyBorder="1" applyAlignment="1">
      <alignment horizontal="center" vertical="center"/>
    </xf>
    <xf numFmtId="0" fontId="14" fillId="5" borderId="4" xfId="1" applyFont="1" applyFill="1" applyBorder="1" applyAlignment="1">
      <alignment vertical="center" wrapText="1" shrinkToFit="1"/>
    </xf>
    <xf numFmtId="0" fontId="14" fillId="0" borderId="4" xfId="1" applyFont="1" applyBorder="1" applyAlignment="1">
      <alignment vertical="center" wrapText="1" shrinkToFit="1"/>
    </xf>
    <xf numFmtId="10" fontId="13" fillId="0" borderId="4" xfId="1" applyNumberFormat="1" applyFont="1" applyBorder="1" applyAlignment="1">
      <alignment horizontal="right" vertical="center"/>
    </xf>
    <xf numFmtId="4" fontId="13" fillId="0" borderId="4" xfId="1" applyNumberFormat="1" applyFont="1" applyBorder="1" applyAlignment="1">
      <alignment horizontal="right" vertical="center" wrapText="1"/>
    </xf>
    <xf numFmtId="49" fontId="14" fillId="5" borderId="4" xfId="1" applyNumberFormat="1" applyFont="1" applyFill="1" applyBorder="1" applyAlignment="1">
      <alignment horizontal="center" vertical="center"/>
    </xf>
    <xf numFmtId="10" fontId="14" fillId="5" borderId="4" xfId="1" applyNumberFormat="1" applyFont="1" applyFill="1" applyBorder="1" applyAlignment="1">
      <alignment horizontal="right" vertical="center" wrapText="1"/>
    </xf>
    <xf numFmtId="0" fontId="14" fillId="6" borderId="4" xfId="1" applyFont="1" applyFill="1" applyBorder="1" applyAlignment="1">
      <alignment horizontal="center" vertical="center"/>
    </xf>
    <xf numFmtId="49" fontId="14" fillId="6" borderId="4" xfId="1" applyNumberFormat="1" applyFont="1" applyFill="1" applyBorder="1" applyAlignment="1">
      <alignment horizontal="center" vertical="center"/>
    </xf>
    <xf numFmtId="0" fontId="14" fillId="6" borderId="4" xfId="1" applyFont="1" applyFill="1" applyBorder="1" applyAlignment="1">
      <alignment vertical="center" wrapText="1" shrinkToFit="1"/>
    </xf>
    <xf numFmtId="4" fontId="14" fillId="6" borderId="4" xfId="1" applyNumberFormat="1" applyFont="1" applyFill="1" applyBorder="1" applyAlignment="1">
      <alignment horizontal="right" vertical="center"/>
    </xf>
    <xf numFmtId="10" fontId="14" fillId="0" borderId="4" xfId="1" applyNumberFormat="1" applyFont="1" applyBorder="1" applyAlignment="1">
      <alignment horizontal="right" vertical="center" wrapText="1"/>
    </xf>
    <xf numFmtId="0" fontId="13" fillId="6" borderId="4" xfId="1" applyFont="1" applyFill="1" applyBorder="1" applyAlignment="1">
      <alignment horizontal="center" vertical="center"/>
    </xf>
    <xf numFmtId="49" fontId="13" fillId="6" borderId="4" xfId="1" applyNumberFormat="1" applyFont="1" applyFill="1" applyBorder="1" applyAlignment="1">
      <alignment horizontal="center" vertical="center"/>
    </xf>
    <xf numFmtId="0" fontId="13" fillId="6" borderId="4" xfId="1" applyFont="1" applyFill="1" applyBorder="1" applyAlignment="1">
      <alignment vertical="center" wrapText="1" shrinkToFit="1"/>
    </xf>
    <xf numFmtId="4" fontId="13" fillId="6" borderId="4" xfId="1" applyNumberFormat="1" applyFont="1" applyFill="1" applyBorder="1" applyAlignment="1">
      <alignment horizontal="right" vertical="center"/>
    </xf>
    <xf numFmtId="4" fontId="1" fillId="0" borderId="0" xfId="1" applyNumberFormat="1"/>
    <xf numFmtId="0" fontId="13" fillId="0" borderId="4" xfId="1" applyFont="1" applyFill="1" applyBorder="1" applyAlignment="1">
      <alignment horizontal="center" vertical="center"/>
    </xf>
    <xf numFmtId="49" fontId="13" fillId="0" borderId="4" xfId="1" applyNumberFormat="1" applyFont="1" applyFill="1" applyBorder="1" applyAlignment="1">
      <alignment horizontal="center" vertical="center"/>
    </xf>
    <xf numFmtId="0" fontId="13" fillId="0" borderId="4" xfId="1" applyFont="1" applyFill="1" applyBorder="1" applyAlignment="1">
      <alignment vertical="center" wrapText="1" shrinkToFit="1"/>
    </xf>
    <xf numFmtId="10" fontId="13" fillId="0" borderId="4" xfId="1" applyNumberFormat="1" applyFont="1" applyFill="1" applyBorder="1" applyAlignment="1">
      <alignment horizontal="right" vertical="center" wrapText="1"/>
    </xf>
    <xf numFmtId="0" fontId="16" fillId="0" borderId="0" xfId="1" applyFont="1" applyAlignment="1">
      <alignment horizontal="center" vertical="center"/>
    </xf>
    <xf numFmtId="4" fontId="13" fillId="0" borderId="0" xfId="1" applyNumberFormat="1" applyFont="1"/>
    <xf numFmtId="0" fontId="17" fillId="5" borderId="7" xfId="1" applyFont="1" applyFill="1" applyBorder="1" applyAlignment="1">
      <alignment horizontal="center" vertical="center" wrapText="1"/>
    </xf>
    <xf numFmtId="0" fontId="17" fillId="5" borderId="4" xfId="1" applyFont="1" applyFill="1" applyBorder="1" applyAlignment="1">
      <alignment horizontal="center" vertical="center" wrapText="1"/>
    </xf>
    <xf numFmtId="3" fontId="17" fillId="5" borderId="4" xfId="1" applyNumberFormat="1" applyFont="1" applyFill="1" applyBorder="1" applyAlignment="1">
      <alignment horizontal="center" vertical="center" wrapText="1"/>
    </xf>
    <xf numFmtId="0" fontId="14" fillId="4" borderId="4" xfId="1" applyFont="1" applyFill="1" applyBorder="1" applyAlignment="1">
      <alignment horizontal="center" vertical="top" wrapText="1"/>
    </xf>
    <xf numFmtId="0" fontId="14" fillId="4" borderId="4" xfId="1" applyFont="1" applyFill="1" applyBorder="1" applyAlignment="1">
      <alignment vertical="top" wrapText="1"/>
    </xf>
    <xf numFmtId="4" fontId="14" fillId="4" borderId="4" xfId="1" applyNumberFormat="1" applyFont="1" applyFill="1" applyBorder="1" applyAlignment="1">
      <alignment horizontal="right" vertical="top" wrapText="1"/>
    </xf>
    <xf numFmtId="10" fontId="14" fillId="4" borderId="4" xfId="1" applyNumberFormat="1" applyFont="1" applyFill="1" applyBorder="1" applyAlignment="1">
      <alignment horizontal="right" vertical="top" wrapText="1"/>
    </xf>
    <xf numFmtId="0" fontId="14" fillId="7" borderId="4" xfId="1" applyFont="1" applyFill="1" applyBorder="1" applyAlignment="1">
      <alignment horizontal="center" vertical="top" wrapText="1"/>
    </xf>
    <xf numFmtId="0" fontId="13" fillId="7" borderId="4" xfId="1" applyFont="1" applyFill="1" applyBorder="1" applyAlignment="1">
      <alignment horizontal="center" vertical="top" wrapText="1"/>
    </xf>
    <xf numFmtId="0" fontId="14" fillId="7" borderId="4" xfId="1" applyFont="1" applyFill="1" applyBorder="1" applyAlignment="1">
      <alignment vertical="top" wrapText="1"/>
    </xf>
    <xf numFmtId="4" fontId="14" fillId="7" borderId="4" xfId="1" applyNumberFormat="1" applyFont="1" applyFill="1" applyBorder="1" applyAlignment="1">
      <alignment horizontal="right" vertical="top" wrapText="1"/>
    </xf>
    <xf numFmtId="10" fontId="14" fillId="7" borderId="4" xfId="1" applyNumberFormat="1" applyFont="1" applyFill="1" applyBorder="1" applyAlignment="1">
      <alignment horizontal="right" vertical="top" wrapText="1"/>
    </xf>
    <xf numFmtId="0" fontId="13" fillId="0" borderId="4" xfId="1" applyFont="1" applyFill="1" applyBorder="1" applyAlignment="1">
      <alignment horizontal="center" vertical="top" wrapText="1"/>
    </xf>
    <xf numFmtId="0" fontId="13" fillId="0" borderId="4" xfId="1" applyFont="1" applyFill="1" applyBorder="1" applyAlignment="1">
      <alignment horizontal="left" vertical="top" wrapText="1"/>
    </xf>
    <xf numFmtId="4" fontId="13" fillId="0" borderId="4" xfId="1" applyNumberFormat="1" applyFont="1" applyFill="1" applyBorder="1" applyAlignment="1">
      <alignment horizontal="right" vertical="top" wrapText="1"/>
    </xf>
    <xf numFmtId="10" fontId="13" fillId="0" borderId="4" xfId="1" applyNumberFormat="1" applyFont="1" applyFill="1" applyBorder="1" applyAlignment="1">
      <alignment horizontal="right" vertical="top" wrapText="1"/>
    </xf>
    <xf numFmtId="0" fontId="14" fillId="7" borderId="4" xfId="1" applyFont="1" applyFill="1" applyBorder="1" applyAlignment="1">
      <alignment horizontal="left" vertical="top" wrapText="1"/>
    </xf>
    <xf numFmtId="0" fontId="13" fillId="0" borderId="4" xfId="1" applyFont="1" applyBorder="1" applyAlignment="1">
      <alignment horizontal="center" vertical="top" wrapText="1"/>
    </xf>
    <xf numFmtId="0" fontId="13" fillId="0" borderId="4" xfId="1" applyFont="1" applyBorder="1" applyAlignment="1">
      <alignment vertical="top" wrapText="1"/>
    </xf>
    <xf numFmtId="4" fontId="13" fillId="0" borderId="4" xfId="1" applyNumberFormat="1" applyFont="1" applyBorder="1" applyAlignment="1">
      <alignment horizontal="right" vertical="top" wrapText="1"/>
    </xf>
    <xf numFmtId="0" fontId="13" fillId="0" borderId="4" xfId="1" applyFont="1" applyFill="1" applyBorder="1" applyAlignment="1">
      <alignment vertical="top" wrapText="1"/>
    </xf>
    <xf numFmtId="4" fontId="13" fillId="6" borderId="4" xfId="1" applyNumberFormat="1" applyFont="1" applyFill="1" applyBorder="1" applyAlignment="1">
      <alignment horizontal="right" vertical="top" wrapText="1"/>
    </xf>
    <xf numFmtId="0" fontId="18" fillId="0" borderId="4" xfId="1" applyFont="1" applyBorder="1" applyAlignment="1">
      <alignment horizontal="right" vertical="top" wrapText="1"/>
    </xf>
    <xf numFmtId="4" fontId="18" fillId="0" borderId="4" xfId="1" applyNumberFormat="1" applyFont="1" applyBorder="1" applyAlignment="1">
      <alignment horizontal="right" vertical="top" wrapText="1"/>
    </xf>
    <xf numFmtId="10" fontId="18" fillId="0" borderId="4" xfId="1" applyNumberFormat="1" applyFont="1" applyFill="1" applyBorder="1" applyAlignment="1">
      <alignment horizontal="right" vertical="top" wrapText="1"/>
    </xf>
    <xf numFmtId="4" fontId="18" fillId="6" borderId="4" xfId="1" applyNumberFormat="1" applyFont="1" applyFill="1" applyBorder="1" applyAlignment="1">
      <alignment horizontal="right" vertical="top" wrapText="1"/>
    </xf>
    <xf numFmtId="0" fontId="18" fillId="0" borderId="4" xfId="1" applyFont="1" applyBorder="1" applyAlignment="1">
      <alignment horizontal="left" vertical="top" wrapText="1"/>
    </xf>
    <xf numFmtId="0" fontId="14" fillId="5" borderId="4" xfId="1" applyFont="1" applyFill="1" applyBorder="1" applyAlignment="1">
      <alignment horizontal="center" vertical="top" wrapText="1"/>
    </xf>
    <xf numFmtId="0" fontId="14" fillId="5" borderId="4" xfId="1" applyFont="1" applyFill="1" applyBorder="1" applyAlignment="1">
      <alignment vertical="top" wrapText="1"/>
    </xf>
    <xf numFmtId="4" fontId="14" fillId="5" borderId="4" xfId="1" applyNumberFormat="1" applyFont="1" applyFill="1" applyBorder="1" applyAlignment="1">
      <alignment horizontal="right" vertical="top" wrapText="1"/>
    </xf>
    <xf numFmtId="10" fontId="14" fillId="5" borderId="4" xfId="1" applyNumberFormat="1" applyFont="1" applyFill="1" applyBorder="1" applyAlignment="1">
      <alignment horizontal="right" vertical="top" wrapText="1"/>
    </xf>
    <xf numFmtId="0" fontId="1" fillId="0" borderId="0" xfId="1" applyFill="1"/>
    <xf numFmtId="10" fontId="14" fillId="0" borderId="4" xfId="1" applyNumberFormat="1" applyFont="1" applyFill="1" applyBorder="1" applyAlignment="1">
      <alignment horizontal="right" vertical="top" wrapText="1"/>
    </xf>
    <xf numFmtId="10" fontId="1" fillId="0" borderId="0" xfId="1" applyNumberFormat="1"/>
    <xf numFmtId="0" fontId="14" fillId="0" borderId="4" xfId="1" applyFont="1" applyBorder="1" applyAlignment="1">
      <alignment vertical="top" wrapText="1"/>
    </xf>
    <xf numFmtId="0" fontId="14" fillId="8" borderId="4" xfId="1" applyFont="1" applyFill="1" applyBorder="1" applyAlignment="1">
      <alignment horizontal="center" vertical="top" wrapText="1"/>
    </xf>
    <xf numFmtId="0" fontId="14" fillId="8" borderId="4" xfId="1" applyFont="1" applyFill="1" applyBorder="1" applyAlignment="1">
      <alignment vertical="top" wrapText="1"/>
    </xf>
    <xf numFmtId="4" fontId="14" fillId="8" borderId="4" xfId="1" applyNumberFormat="1" applyFont="1" applyFill="1" applyBorder="1" applyAlignment="1">
      <alignment horizontal="right" vertical="top" wrapText="1"/>
    </xf>
    <xf numFmtId="10" fontId="14" fillId="8" borderId="4" xfId="1" applyNumberFormat="1" applyFont="1" applyFill="1" applyBorder="1" applyAlignment="1">
      <alignment horizontal="right" vertical="top" wrapText="1"/>
    </xf>
    <xf numFmtId="4" fontId="14" fillId="5" borderId="4" xfId="1" applyNumberFormat="1" applyFont="1" applyFill="1" applyBorder="1" applyAlignment="1">
      <alignment horizontal="right" vertical="center" wrapText="1"/>
    </xf>
    <xf numFmtId="0" fontId="4" fillId="2" borderId="4" xfId="0"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3" fontId="2" fillId="0" borderId="2" xfId="0" applyNumberFormat="1" applyFont="1" applyBorder="1" applyAlignment="1">
      <alignment horizontal="center" wrapText="1"/>
    </xf>
    <xf numFmtId="3" fontId="2" fillId="0" borderId="3" xfId="0" applyNumberFormat="1" applyFont="1" applyBorder="1" applyAlignment="1">
      <alignment horizont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left" wrapText="1"/>
    </xf>
    <xf numFmtId="0" fontId="2" fillId="0" borderId="8" xfId="0" applyFont="1" applyBorder="1" applyAlignment="1">
      <alignment horizontal="center" wrapText="1"/>
    </xf>
    <xf numFmtId="0" fontId="2" fillId="0" borderId="8" xfId="0" applyFont="1" applyBorder="1" applyAlignment="1">
      <alignment horizontal="left" wrapText="1"/>
    </xf>
    <xf numFmtId="164" fontId="2" fillId="0" borderId="2" xfId="0" applyNumberFormat="1" applyFont="1" applyBorder="1" applyAlignment="1">
      <alignment horizontal="center" wrapText="1"/>
    </xf>
    <xf numFmtId="164" fontId="2" fillId="0" borderId="8" xfId="0" applyNumberFormat="1" applyFont="1" applyBorder="1" applyAlignment="1">
      <alignment horizontal="center" wrapText="1"/>
    </xf>
    <xf numFmtId="164" fontId="2" fillId="0" borderId="3" xfId="0" applyNumberFormat="1" applyFont="1" applyBorder="1" applyAlignment="1">
      <alignment horizontal="center" wrapText="1"/>
    </xf>
    <xf numFmtId="10" fontId="2" fillId="0" borderId="2"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4" fillId="2" borderId="2" xfId="0" applyFont="1" applyFill="1" applyBorder="1" applyAlignment="1">
      <alignment horizont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4" fillId="2" borderId="8" xfId="0" applyFont="1" applyFill="1" applyBorder="1" applyAlignment="1">
      <alignment horizontal="center" wrapText="1"/>
    </xf>
    <xf numFmtId="10" fontId="2" fillId="0" borderId="12"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0" xfId="0" applyAlignment="1">
      <alignment horizontal="left"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2" borderId="2" xfId="0" applyFont="1" applyFill="1" applyBorder="1" applyAlignment="1">
      <alignment horizontal="center" wrapText="1"/>
    </xf>
    <xf numFmtId="0" fontId="9" fillId="2" borderId="3" xfId="0" applyFont="1" applyFill="1" applyBorder="1" applyAlignment="1">
      <alignment horizontal="center" wrapText="1"/>
    </xf>
    <xf numFmtId="0" fontId="3" fillId="0" borderId="1" xfId="0" applyFont="1" applyBorder="1" applyAlignment="1">
      <alignment horizontal="center" vertic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10" fillId="0" borderId="10" xfId="0" applyFont="1" applyBorder="1" applyAlignment="1">
      <alignment horizontal="left" vertical="top" wrapText="1"/>
    </xf>
    <xf numFmtId="0" fontId="2" fillId="0" borderId="1" xfId="0" applyFont="1" applyBorder="1" applyAlignment="1">
      <alignment horizontal="left" vertical="top" wrapText="1"/>
    </xf>
    <xf numFmtId="0" fontId="2" fillId="0" borderId="11" xfId="0" applyFont="1" applyBorder="1" applyAlignment="1">
      <alignment horizontal="left" vertical="top" wrapText="1"/>
    </xf>
    <xf numFmtId="0" fontId="14" fillId="2" borderId="4" xfId="1" applyFont="1" applyFill="1" applyBorder="1" applyAlignment="1">
      <alignment horizontal="center" vertical="center" wrapText="1"/>
    </xf>
    <xf numFmtId="0" fontId="14" fillId="5" borderId="2" xfId="1" applyFont="1" applyFill="1" applyBorder="1" applyAlignment="1">
      <alignment horizontal="center" vertical="center"/>
    </xf>
    <xf numFmtId="0" fontId="14" fillId="5" borderId="8" xfId="1" applyFont="1" applyFill="1" applyBorder="1" applyAlignment="1">
      <alignment horizontal="center" vertical="center"/>
    </xf>
    <xf numFmtId="0" fontId="14" fillId="5" borderId="3" xfId="1" applyFont="1" applyFill="1" applyBorder="1" applyAlignment="1">
      <alignment horizontal="center" vertical="center"/>
    </xf>
    <xf numFmtId="0" fontId="11" fillId="0" borderId="0" xfId="1" applyFont="1" applyAlignment="1">
      <alignment horizontal="right" wrapText="1"/>
    </xf>
    <xf numFmtId="0" fontId="12" fillId="0" borderId="0" xfId="1" applyFont="1" applyAlignment="1">
      <alignment horizontal="center"/>
    </xf>
    <xf numFmtId="0" fontId="14" fillId="4" borderId="4" xfId="1" applyFont="1" applyFill="1" applyBorder="1" applyAlignment="1">
      <alignment horizontal="center" vertical="center"/>
    </xf>
    <xf numFmtId="49" fontId="14" fillId="4" borderId="4" xfId="1" applyNumberFormat="1" applyFont="1" applyFill="1" applyBorder="1" applyAlignment="1">
      <alignment horizontal="center" vertical="center"/>
    </xf>
    <xf numFmtId="0" fontId="14" fillId="4" borderId="4" xfId="1" applyFont="1" applyFill="1" applyBorder="1" applyAlignment="1">
      <alignment horizontal="center" vertical="center" wrapText="1"/>
    </xf>
    <xf numFmtId="42" fontId="14" fillId="4" borderId="4" xfId="1" applyNumberFormat="1" applyFont="1" applyFill="1" applyBorder="1" applyAlignment="1">
      <alignment horizontal="center" vertical="center" wrapText="1"/>
    </xf>
    <xf numFmtId="42" fontId="14" fillId="4" borderId="4" xfId="1" applyNumberFormat="1" applyFont="1" applyFill="1" applyBorder="1" applyAlignment="1">
      <alignment horizontal="center" vertical="center"/>
    </xf>
    <xf numFmtId="4" fontId="14" fillId="2" borderId="5" xfId="1" applyNumberFormat="1" applyFont="1" applyFill="1" applyBorder="1" applyAlignment="1">
      <alignment horizontal="center" vertical="center" wrapText="1"/>
    </xf>
    <xf numFmtId="4" fontId="14" fillId="2" borderId="6" xfId="1" applyNumberFormat="1" applyFont="1" applyFill="1" applyBorder="1" applyAlignment="1">
      <alignment horizontal="center" vertical="center" wrapText="1"/>
    </xf>
    <xf numFmtId="0" fontId="14" fillId="5" borderId="2" xfId="1" applyFont="1" applyFill="1" applyBorder="1" applyAlignment="1">
      <alignment horizontal="center" vertical="center" wrapText="1"/>
    </xf>
    <xf numFmtId="0" fontId="14" fillId="5" borderId="8" xfId="1" applyFont="1" applyFill="1" applyBorder="1" applyAlignment="1">
      <alignment horizontal="center" vertical="center" wrapText="1"/>
    </xf>
    <xf numFmtId="0" fontId="14" fillId="5" borderId="3" xfId="1" applyFont="1" applyFill="1" applyBorder="1" applyAlignment="1">
      <alignment horizontal="center" vertical="center" wrapText="1"/>
    </xf>
    <xf numFmtId="0" fontId="12" fillId="0" borderId="0" xfId="1" applyFont="1" applyAlignment="1">
      <alignment horizontal="center" vertical="center"/>
    </xf>
    <xf numFmtId="42" fontId="14" fillId="4" borderId="5" xfId="1" applyNumberFormat="1" applyFont="1" applyFill="1" applyBorder="1" applyAlignment="1">
      <alignment horizontal="center" vertical="center" wrapText="1"/>
    </xf>
    <xf numFmtId="42" fontId="14" fillId="4" borderId="6" xfId="1" applyNumberFormat="1" applyFont="1" applyFill="1" applyBorder="1" applyAlignment="1">
      <alignment horizontal="center" vertical="center" wrapText="1"/>
    </xf>
    <xf numFmtId="0" fontId="14" fillId="2" borderId="5" xfId="1" applyFont="1" applyFill="1" applyBorder="1" applyAlignment="1">
      <alignment horizontal="center" vertical="center" wrapText="1"/>
    </xf>
    <xf numFmtId="0" fontId="14" fillId="2" borderId="6" xfId="1" applyFont="1" applyFill="1" applyBorder="1" applyAlignment="1">
      <alignment horizontal="center" vertical="center" wrapText="1"/>
    </xf>
  </cellXfs>
  <cellStyles count="2">
    <cellStyle name="Normalny" xfId="0" builtinId="0"/>
    <cellStyle name="Normalny 2" xfId="1" xr:uid="{AF1A7CA5-67B9-4050-897E-C0A00B5E94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23"/>
  <sheetViews>
    <sheetView tabSelected="1" zoomScaleNormal="100" workbookViewId="0"/>
  </sheetViews>
  <sheetFormatPr defaultRowHeight="12.75" x14ac:dyDescent="0.2"/>
  <cols>
    <col min="1" max="1" width="24" customWidth="1"/>
    <col min="2" max="2" width="13.28515625" customWidth="1"/>
    <col min="3" max="3" width="13.85546875" customWidth="1"/>
    <col min="4" max="4" width="14.42578125" customWidth="1"/>
    <col min="5" max="5" width="45" customWidth="1"/>
    <col min="6" max="7" width="10.140625" bestFit="1" customWidth="1"/>
    <col min="9" max="9" width="11.5703125" bestFit="1" customWidth="1"/>
    <col min="257" max="257" width="24" customWidth="1"/>
    <col min="258" max="258" width="13.28515625" customWidth="1"/>
    <col min="259" max="259" width="13.85546875" customWidth="1"/>
    <col min="260" max="260" width="14.42578125" customWidth="1"/>
    <col min="261" max="261" width="31.7109375" customWidth="1"/>
    <col min="513" max="513" width="24" customWidth="1"/>
    <col min="514" max="514" width="13.28515625" customWidth="1"/>
    <col min="515" max="515" width="13.85546875" customWidth="1"/>
    <col min="516" max="516" width="14.42578125" customWidth="1"/>
    <col min="517" max="517" width="31.7109375" customWidth="1"/>
    <col min="769" max="769" width="24" customWidth="1"/>
    <col min="770" max="770" width="13.28515625" customWidth="1"/>
    <col min="771" max="771" width="13.85546875" customWidth="1"/>
    <col min="772" max="772" width="14.42578125" customWidth="1"/>
    <col min="773" max="773" width="31.7109375" customWidth="1"/>
    <col min="1025" max="1025" width="24" customWidth="1"/>
    <col min="1026" max="1026" width="13.28515625" customWidth="1"/>
    <col min="1027" max="1027" width="13.85546875" customWidth="1"/>
    <col min="1028" max="1028" width="14.42578125" customWidth="1"/>
    <col min="1029" max="1029" width="31.7109375" customWidth="1"/>
    <col min="1281" max="1281" width="24" customWidth="1"/>
    <col min="1282" max="1282" width="13.28515625" customWidth="1"/>
    <col min="1283" max="1283" width="13.85546875" customWidth="1"/>
    <col min="1284" max="1284" width="14.42578125" customWidth="1"/>
    <col min="1285" max="1285" width="31.7109375" customWidth="1"/>
    <col min="1537" max="1537" width="24" customWidth="1"/>
    <col min="1538" max="1538" width="13.28515625" customWidth="1"/>
    <col min="1539" max="1539" width="13.85546875" customWidth="1"/>
    <col min="1540" max="1540" width="14.42578125" customWidth="1"/>
    <col min="1541" max="1541" width="31.7109375" customWidth="1"/>
    <col min="1793" max="1793" width="24" customWidth="1"/>
    <col min="1794" max="1794" width="13.28515625" customWidth="1"/>
    <col min="1795" max="1795" width="13.85546875" customWidth="1"/>
    <col min="1796" max="1796" width="14.42578125" customWidth="1"/>
    <col min="1797" max="1797" width="31.7109375" customWidth="1"/>
    <col min="2049" max="2049" width="24" customWidth="1"/>
    <col min="2050" max="2050" width="13.28515625" customWidth="1"/>
    <col min="2051" max="2051" width="13.85546875" customWidth="1"/>
    <col min="2052" max="2052" width="14.42578125" customWidth="1"/>
    <col min="2053" max="2053" width="31.7109375" customWidth="1"/>
    <col min="2305" max="2305" width="24" customWidth="1"/>
    <col min="2306" max="2306" width="13.28515625" customWidth="1"/>
    <col min="2307" max="2307" width="13.85546875" customWidth="1"/>
    <col min="2308" max="2308" width="14.42578125" customWidth="1"/>
    <col min="2309" max="2309" width="31.7109375" customWidth="1"/>
    <col min="2561" max="2561" width="24" customWidth="1"/>
    <col min="2562" max="2562" width="13.28515625" customWidth="1"/>
    <col min="2563" max="2563" width="13.85546875" customWidth="1"/>
    <col min="2564" max="2564" width="14.42578125" customWidth="1"/>
    <col min="2565" max="2565" width="31.7109375" customWidth="1"/>
    <col min="2817" max="2817" width="24" customWidth="1"/>
    <col min="2818" max="2818" width="13.28515625" customWidth="1"/>
    <col min="2819" max="2819" width="13.85546875" customWidth="1"/>
    <col min="2820" max="2820" width="14.42578125" customWidth="1"/>
    <col min="2821" max="2821" width="31.7109375" customWidth="1"/>
    <col min="3073" max="3073" width="24" customWidth="1"/>
    <col min="3074" max="3074" width="13.28515625" customWidth="1"/>
    <col min="3075" max="3075" width="13.85546875" customWidth="1"/>
    <col min="3076" max="3076" width="14.42578125" customWidth="1"/>
    <col min="3077" max="3077" width="31.7109375" customWidth="1"/>
    <col min="3329" max="3329" width="24" customWidth="1"/>
    <col min="3330" max="3330" width="13.28515625" customWidth="1"/>
    <col min="3331" max="3331" width="13.85546875" customWidth="1"/>
    <col min="3332" max="3332" width="14.42578125" customWidth="1"/>
    <col min="3333" max="3333" width="31.7109375" customWidth="1"/>
    <col min="3585" max="3585" width="24" customWidth="1"/>
    <col min="3586" max="3586" width="13.28515625" customWidth="1"/>
    <col min="3587" max="3587" width="13.85546875" customWidth="1"/>
    <col min="3588" max="3588" width="14.42578125" customWidth="1"/>
    <col min="3589" max="3589" width="31.7109375" customWidth="1"/>
    <col min="3841" max="3841" width="24" customWidth="1"/>
    <col min="3842" max="3842" width="13.28515625" customWidth="1"/>
    <col min="3843" max="3843" width="13.85546875" customWidth="1"/>
    <col min="3844" max="3844" width="14.42578125" customWidth="1"/>
    <col min="3845" max="3845" width="31.7109375" customWidth="1"/>
    <col min="4097" max="4097" width="24" customWidth="1"/>
    <col min="4098" max="4098" width="13.28515625" customWidth="1"/>
    <col min="4099" max="4099" width="13.85546875" customWidth="1"/>
    <col min="4100" max="4100" width="14.42578125" customWidth="1"/>
    <col min="4101" max="4101" width="31.7109375" customWidth="1"/>
    <col min="4353" max="4353" width="24" customWidth="1"/>
    <col min="4354" max="4354" width="13.28515625" customWidth="1"/>
    <col min="4355" max="4355" width="13.85546875" customWidth="1"/>
    <col min="4356" max="4356" width="14.42578125" customWidth="1"/>
    <col min="4357" max="4357" width="31.7109375" customWidth="1"/>
    <col min="4609" max="4609" width="24" customWidth="1"/>
    <col min="4610" max="4610" width="13.28515625" customWidth="1"/>
    <col min="4611" max="4611" width="13.85546875" customWidth="1"/>
    <col min="4612" max="4612" width="14.42578125" customWidth="1"/>
    <col min="4613" max="4613" width="31.7109375" customWidth="1"/>
    <col min="4865" max="4865" width="24" customWidth="1"/>
    <col min="4866" max="4866" width="13.28515625" customWidth="1"/>
    <col min="4867" max="4867" width="13.85546875" customWidth="1"/>
    <col min="4868" max="4868" width="14.42578125" customWidth="1"/>
    <col min="4869" max="4869" width="31.7109375" customWidth="1"/>
    <col min="5121" max="5121" width="24" customWidth="1"/>
    <col min="5122" max="5122" width="13.28515625" customWidth="1"/>
    <col min="5123" max="5123" width="13.85546875" customWidth="1"/>
    <col min="5124" max="5124" width="14.42578125" customWidth="1"/>
    <col min="5125" max="5125" width="31.7109375" customWidth="1"/>
    <col min="5377" max="5377" width="24" customWidth="1"/>
    <col min="5378" max="5378" width="13.28515625" customWidth="1"/>
    <col min="5379" max="5379" width="13.85546875" customWidth="1"/>
    <col min="5380" max="5380" width="14.42578125" customWidth="1"/>
    <col min="5381" max="5381" width="31.7109375" customWidth="1"/>
    <col min="5633" max="5633" width="24" customWidth="1"/>
    <col min="5634" max="5634" width="13.28515625" customWidth="1"/>
    <col min="5635" max="5635" width="13.85546875" customWidth="1"/>
    <col min="5636" max="5636" width="14.42578125" customWidth="1"/>
    <col min="5637" max="5637" width="31.7109375" customWidth="1"/>
    <col min="5889" max="5889" width="24" customWidth="1"/>
    <col min="5890" max="5890" width="13.28515625" customWidth="1"/>
    <col min="5891" max="5891" width="13.85546875" customWidth="1"/>
    <col min="5892" max="5892" width="14.42578125" customWidth="1"/>
    <col min="5893" max="5893" width="31.7109375" customWidth="1"/>
    <col min="6145" max="6145" width="24" customWidth="1"/>
    <col min="6146" max="6146" width="13.28515625" customWidth="1"/>
    <col min="6147" max="6147" width="13.85546875" customWidth="1"/>
    <col min="6148" max="6148" width="14.42578125" customWidth="1"/>
    <col min="6149" max="6149" width="31.7109375" customWidth="1"/>
    <col min="6401" max="6401" width="24" customWidth="1"/>
    <col min="6402" max="6402" width="13.28515625" customWidth="1"/>
    <col min="6403" max="6403" width="13.85546875" customWidth="1"/>
    <col min="6404" max="6404" width="14.42578125" customWidth="1"/>
    <col min="6405" max="6405" width="31.7109375" customWidth="1"/>
    <col min="6657" max="6657" width="24" customWidth="1"/>
    <col min="6658" max="6658" width="13.28515625" customWidth="1"/>
    <col min="6659" max="6659" width="13.85546875" customWidth="1"/>
    <col min="6660" max="6660" width="14.42578125" customWidth="1"/>
    <col min="6661" max="6661" width="31.7109375" customWidth="1"/>
    <col min="6913" max="6913" width="24" customWidth="1"/>
    <col min="6914" max="6914" width="13.28515625" customWidth="1"/>
    <col min="6915" max="6915" width="13.85546875" customWidth="1"/>
    <col min="6916" max="6916" width="14.42578125" customWidth="1"/>
    <col min="6917" max="6917" width="31.7109375" customWidth="1"/>
    <col min="7169" max="7169" width="24" customWidth="1"/>
    <col min="7170" max="7170" width="13.28515625" customWidth="1"/>
    <col min="7171" max="7171" width="13.85546875" customWidth="1"/>
    <col min="7172" max="7172" width="14.42578125" customWidth="1"/>
    <col min="7173" max="7173" width="31.7109375" customWidth="1"/>
    <col min="7425" max="7425" width="24" customWidth="1"/>
    <col min="7426" max="7426" width="13.28515625" customWidth="1"/>
    <col min="7427" max="7427" width="13.85546875" customWidth="1"/>
    <col min="7428" max="7428" width="14.42578125" customWidth="1"/>
    <col min="7429" max="7429" width="31.7109375" customWidth="1"/>
    <col min="7681" max="7681" width="24" customWidth="1"/>
    <col min="7682" max="7682" width="13.28515625" customWidth="1"/>
    <col min="7683" max="7683" width="13.85546875" customWidth="1"/>
    <col min="7684" max="7684" width="14.42578125" customWidth="1"/>
    <col min="7685" max="7685" width="31.7109375" customWidth="1"/>
    <col min="7937" max="7937" width="24" customWidth="1"/>
    <col min="7938" max="7938" width="13.28515625" customWidth="1"/>
    <col min="7939" max="7939" width="13.85546875" customWidth="1"/>
    <col min="7940" max="7940" width="14.42578125" customWidth="1"/>
    <col min="7941" max="7941" width="31.7109375" customWidth="1"/>
    <col min="8193" max="8193" width="24" customWidth="1"/>
    <col min="8194" max="8194" width="13.28515625" customWidth="1"/>
    <col min="8195" max="8195" width="13.85546875" customWidth="1"/>
    <col min="8196" max="8196" width="14.42578125" customWidth="1"/>
    <col min="8197" max="8197" width="31.7109375" customWidth="1"/>
    <col min="8449" max="8449" width="24" customWidth="1"/>
    <col min="8450" max="8450" width="13.28515625" customWidth="1"/>
    <col min="8451" max="8451" width="13.85546875" customWidth="1"/>
    <col min="8452" max="8452" width="14.42578125" customWidth="1"/>
    <col min="8453" max="8453" width="31.7109375" customWidth="1"/>
    <col min="8705" max="8705" width="24" customWidth="1"/>
    <col min="8706" max="8706" width="13.28515625" customWidth="1"/>
    <col min="8707" max="8707" width="13.85546875" customWidth="1"/>
    <col min="8708" max="8708" width="14.42578125" customWidth="1"/>
    <col min="8709" max="8709" width="31.7109375" customWidth="1"/>
    <col min="8961" max="8961" width="24" customWidth="1"/>
    <col min="8962" max="8962" width="13.28515625" customWidth="1"/>
    <col min="8963" max="8963" width="13.85546875" customWidth="1"/>
    <col min="8964" max="8964" width="14.42578125" customWidth="1"/>
    <col min="8965" max="8965" width="31.7109375" customWidth="1"/>
    <col min="9217" max="9217" width="24" customWidth="1"/>
    <col min="9218" max="9218" width="13.28515625" customWidth="1"/>
    <col min="9219" max="9219" width="13.85546875" customWidth="1"/>
    <col min="9220" max="9220" width="14.42578125" customWidth="1"/>
    <col min="9221" max="9221" width="31.7109375" customWidth="1"/>
    <col min="9473" max="9473" width="24" customWidth="1"/>
    <col min="9474" max="9474" width="13.28515625" customWidth="1"/>
    <col min="9475" max="9475" width="13.85546875" customWidth="1"/>
    <col min="9476" max="9476" width="14.42578125" customWidth="1"/>
    <col min="9477" max="9477" width="31.7109375" customWidth="1"/>
    <col min="9729" max="9729" width="24" customWidth="1"/>
    <col min="9730" max="9730" width="13.28515625" customWidth="1"/>
    <col min="9731" max="9731" width="13.85546875" customWidth="1"/>
    <col min="9732" max="9732" width="14.42578125" customWidth="1"/>
    <col min="9733" max="9733" width="31.7109375" customWidth="1"/>
    <col min="9985" max="9985" width="24" customWidth="1"/>
    <col min="9986" max="9986" width="13.28515625" customWidth="1"/>
    <col min="9987" max="9987" width="13.85546875" customWidth="1"/>
    <col min="9988" max="9988" width="14.42578125" customWidth="1"/>
    <col min="9989" max="9989" width="31.7109375" customWidth="1"/>
    <col min="10241" max="10241" width="24" customWidth="1"/>
    <col min="10242" max="10242" width="13.28515625" customWidth="1"/>
    <col min="10243" max="10243" width="13.85546875" customWidth="1"/>
    <col min="10244" max="10244" width="14.42578125" customWidth="1"/>
    <col min="10245" max="10245" width="31.7109375" customWidth="1"/>
    <col min="10497" max="10497" width="24" customWidth="1"/>
    <col min="10498" max="10498" width="13.28515625" customWidth="1"/>
    <col min="10499" max="10499" width="13.85546875" customWidth="1"/>
    <col min="10500" max="10500" width="14.42578125" customWidth="1"/>
    <col min="10501" max="10501" width="31.7109375" customWidth="1"/>
    <col min="10753" max="10753" width="24" customWidth="1"/>
    <col min="10754" max="10754" width="13.28515625" customWidth="1"/>
    <col min="10755" max="10755" width="13.85546875" customWidth="1"/>
    <col min="10756" max="10756" width="14.42578125" customWidth="1"/>
    <col min="10757" max="10757" width="31.7109375" customWidth="1"/>
    <col min="11009" max="11009" width="24" customWidth="1"/>
    <col min="11010" max="11010" width="13.28515625" customWidth="1"/>
    <col min="11011" max="11011" width="13.85546875" customWidth="1"/>
    <col min="11012" max="11012" width="14.42578125" customWidth="1"/>
    <col min="11013" max="11013" width="31.7109375" customWidth="1"/>
    <col min="11265" max="11265" width="24" customWidth="1"/>
    <col min="11266" max="11266" width="13.28515625" customWidth="1"/>
    <col min="11267" max="11267" width="13.85546875" customWidth="1"/>
    <col min="11268" max="11268" width="14.42578125" customWidth="1"/>
    <col min="11269" max="11269" width="31.7109375" customWidth="1"/>
    <col min="11521" max="11521" width="24" customWidth="1"/>
    <col min="11522" max="11522" width="13.28515625" customWidth="1"/>
    <col min="11523" max="11523" width="13.85546875" customWidth="1"/>
    <col min="11524" max="11524" width="14.42578125" customWidth="1"/>
    <col min="11525" max="11525" width="31.7109375" customWidth="1"/>
    <col min="11777" max="11777" width="24" customWidth="1"/>
    <col min="11778" max="11778" width="13.28515625" customWidth="1"/>
    <col min="11779" max="11779" width="13.85546875" customWidth="1"/>
    <col min="11780" max="11780" width="14.42578125" customWidth="1"/>
    <col min="11781" max="11781" width="31.7109375" customWidth="1"/>
    <col min="12033" max="12033" width="24" customWidth="1"/>
    <col min="12034" max="12034" width="13.28515625" customWidth="1"/>
    <col min="12035" max="12035" width="13.85546875" customWidth="1"/>
    <col min="12036" max="12036" width="14.42578125" customWidth="1"/>
    <col min="12037" max="12037" width="31.7109375" customWidth="1"/>
    <col min="12289" max="12289" width="24" customWidth="1"/>
    <col min="12290" max="12290" width="13.28515625" customWidth="1"/>
    <col min="12291" max="12291" width="13.85546875" customWidth="1"/>
    <col min="12292" max="12292" width="14.42578125" customWidth="1"/>
    <col min="12293" max="12293" width="31.7109375" customWidth="1"/>
    <col min="12545" max="12545" width="24" customWidth="1"/>
    <col min="12546" max="12546" width="13.28515625" customWidth="1"/>
    <col min="12547" max="12547" width="13.85546875" customWidth="1"/>
    <col min="12548" max="12548" width="14.42578125" customWidth="1"/>
    <col min="12549" max="12549" width="31.7109375" customWidth="1"/>
    <col min="12801" max="12801" width="24" customWidth="1"/>
    <col min="12802" max="12802" width="13.28515625" customWidth="1"/>
    <col min="12803" max="12803" width="13.85546875" customWidth="1"/>
    <col min="12804" max="12804" width="14.42578125" customWidth="1"/>
    <col min="12805" max="12805" width="31.7109375" customWidth="1"/>
    <col min="13057" max="13057" width="24" customWidth="1"/>
    <col min="13058" max="13058" width="13.28515625" customWidth="1"/>
    <col min="13059" max="13059" width="13.85546875" customWidth="1"/>
    <col min="13060" max="13060" width="14.42578125" customWidth="1"/>
    <col min="13061" max="13061" width="31.7109375" customWidth="1"/>
    <col min="13313" max="13313" width="24" customWidth="1"/>
    <col min="13314" max="13314" width="13.28515625" customWidth="1"/>
    <col min="13315" max="13315" width="13.85546875" customWidth="1"/>
    <col min="13316" max="13316" width="14.42578125" customWidth="1"/>
    <col min="13317" max="13317" width="31.7109375" customWidth="1"/>
    <col min="13569" max="13569" width="24" customWidth="1"/>
    <col min="13570" max="13570" width="13.28515625" customWidth="1"/>
    <col min="13571" max="13571" width="13.85546875" customWidth="1"/>
    <col min="13572" max="13572" width="14.42578125" customWidth="1"/>
    <col min="13573" max="13573" width="31.7109375" customWidth="1"/>
    <col min="13825" max="13825" width="24" customWidth="1"/>
    <col min="13826" max="13826" width="13.28515625" customWidth="1"/>
    <col min="13827" max="13827" width="13.85546875" customWidth="1"/>
    <col min="13828" max="13828" width="14.42578125" customWidth="1"/>
    <col min="13829" max="13829" width="31.7109375" customWidth="1"/>
    <col min="14081" max="14081" width="24" customWidth="1"/>
    <col min="14082" max="14082" width="13.28515625" customWidth="1"/>
    <col min="14083" max="14083" width="13.85546875" customWidth="1"/>
    <col min="14084" max="14084" width="14.42578125" customWidth="1"/>
    <col min="14085" max="14085" width="31.7109375" customWidth="1"/>
    <col min="14337" max="14337" width="24" customWidth="1"/>
    <col min="14338" max="14338" width="13.28515625" customWidth="1"/>
    <col min="14339" max="14339" width="13.85546875" customWidth="1"/>
    <col min="14340" max="14340" width="14.42578125" customWidth="1"/>
    <col min="14341" max="14341" width="31.7109375" customWidth="1"/>
    <col min="14593" max="14593" width="24" customWidth="1"/>
    <col min="14594" max="14594" width="13.28515625" customWidth="1"/>
    <col min="14595" max="14595" width="13.85546875" customWidth="1"/>
    <col min="14596" max="14596" width="14.42578125" customWidth="1"/>
    <col min="14597" max="14597" width="31.7109375" customWidth="1"/>
    <col min="14849" max="14849" width="24" customWidth="1"/>
    <col min="14850" max="14850" width="13.28515625" customWidth="1"/>
    <col min="14851" max="14851" width="13.85546875" customWidth="1"/>
    <col min="14852" max="14852" width="14.42578125" customWidth="1"/>
    <col min="14853" max="14853" width="31.7109375" customWidth="1"/>
    <col min="15105" max="15105" width="24" customWidth="1"/>
    <col min="15106" max="15106" width="13.28515625" customWidth="1"/>
    <col min="15107" max="15107" width="13.85546875" customWidth="1"/>
    <col min="15108" max="15108" width="14.42578125" customWidth="1"/>
    <col min="15109" max="15109" width="31.7109375" customWidth="1"/>
    <col min="15361" max="15361" width="24" customWidth="1"/>
    <col min="15362" max="15362" width="13.28515625" customWidth="1"/>
    <col min="15363" max="15363" width="13.85546875" customWidth="1"/>
    <col min="15364" max="15364" width="14.42578125" customWidth="1"/>
    <col min="15365" max="15365" width="31.7109375" customWidth="1"/>
    <col min="15617" max="15617" width="24" customWidth="1"/>
    <col min="15618" max="15618" width="13.28515625" customWidth="1"/>
    <col min="15619" max="15619" width="13.85546875" customWidth="1"/>
    <col min="15620" max="15620" width="14.42578125" customWidth="1"/>
    <col min="15621" max="15621" width="31.7109375" customWidth="1"/>
    <col min="15873" max="15873" width="24" customWidth="1"/>
    <col min="15874" max="15874" width="13.28515625" customWidth="1"/>
    <col min="15875" max="15875" width="13.85546875" customWidth="1"/>
    <col min="15876" max="15876" width="14.42578125" customWidth="1"/>
    <col min="15877" max="15877" width="31.7109375" customWidth="1"/>
    <col min="16129" max="16129" width="24" customWidth="1"/>
    <col min="16130" max="16130" width="13.28515625" customWidth="1"/>
    <col min="16131" max="16131" width="13.85546875" customWidth="1"/>
    <col min="16132" max="16132" width="14.42578125" customWidth="1"/>
    <col min="16133" max="16133" width="31.7109375" customWidth="1"/>
  </cols>
  <sheetData>
    <row r="1" spans="1:13" ht="12.75" customHeight="1" x14ac:dyDescent="0.2">
      <c r="D1" s="6"/>
      <c r="E1" s="184" t="s">
        <v>43</v>
      </c>
    </row>
    <row r="2" spans="1:13" x14ac:dyDescent="0.2">
      <c r="D2" s="7"/>
      <c r="E2" s="184"/>
    </row>
    <row r="3" spans="1:13" ht="34.5" customHeight="1" x14ac:dyDescent="0.2">
      <c r="A3" s="190" t="s">
        <v>56</v>
      </c>
      <c r="B3" s="190"/>
      <c r="C3" s="190"/>
      <c r="D3" s="190"/>
      <c r="E3" s="190"/>
      <c r="F3" s="1"/>
      <c r="G3" s="1"/>
      <c r="H3" s="46"/>
      <c r="I3" s="1"/>
      <c r="J3" s="1"/>
      <c r="K3" s="1"/>
      <c r="L3" s="1"/>
      <c r="M3" s="1"/>
    </row>
    <row r="4" spans="1:13" x14ac:dyDescent="0.2">
      <c r="A4" s="191"/>
      <c r="B4" s="192"/>
      <c r="C4" s="2" t="s">
        <v>0</v>
      </c>
      <c r="D4" s="2" t="s">
        <v>1</v>
      </c>
      <c r="E4" s="23" t="s">
        <v>2</v>
      </c>
      <c r="F4" s="3"/>
      <c r="G4" s="3"/>
      <c r="H4" s="3"/>
      <c r="I4" s="3"/>
      <c r="J4" s="3"/>
      <c r="K4" s="3"/>
      <c r="L4" s="3"/>
      <c r="M4" s="4"/>
    </row>
    <row r="5" spans="1:13" ht="20.25" customHeight="1" x14ac:dyDescent="0.2">
      <c r="A5" s="162" t="s">
        <v>36</v>
      </c>
      <c r="B5" s="163"/>
      <c r="C5" s="27">
        <f>C6</f>
        <v>16920</v>
      </c>
      <c r="D5" s="27">
        <f>D6</f>
        <v>8541.24</v>
      </c>
      <c r="E5" s="28"/>
      <c r="F5" s="3"/>
      <c r="G5" s="3"/>
      <c r="H5" s="3"/>
      <c r="I5" s="3"/>
      <c r="J5" s="3"/>
      <c r="K5" s="3"/>
      <c r="L5" s="3"/>
      <c r="M5" s="4"/>
    </row>
    <row r="6" spans="1:13" ht="15.75" customHeight="1" x14ac:dyDescent="0.2">
      <c r="A6" s="158" t="s">
        <v>3</v>
      </c>
      <c r="B6" s="159"/>
      <c r="C6" s="29">
        <f>C7</f>
        <v>16920</v>
      </c>
      <c r="D6" s="29">
        <f>D7</f>
        <v>8541.24</v>
      </c>
      <c r="E6" s="30"/>
      <c r="F6" s="3"/>
      <c r="G6" s="3"/>
      <c r="H6" s="3"/>
      <c r="I6" s="3"/>
      <c r="J6" s="3"/>
      <c r="K6" s="3"/>
      <c r="L6" s="3"/>
      <c r="M6" s="4"/>
    </row>
    <row r="7" spans="1:13" ht="78.75" customHeight="1" x14ac:dyDescent="0.2">
      <c r="A7" s="156" t="s">
        <v>14</v>
      </c>
      <c r="B7" s="157"/>
      <c r="C7" s="31">
        <v>16920</v>
      </c>
      <c r="D7" s="32">
        <v>8541.24</v>
      </c>
      <c r="E7" s="24" t="s">
        <v>88</v>
      </c>
      <c r="F7" s="3"/>
      <c r="G7" s="3"/>
      <c r="H7" s="3"/>
      <c r="I7" s="3"/>
      <c r="J7" s="3"/>
      <c r="K7" s="3"/>
      <c r="L7" s="3"/>
      <c r="M7" s="4"/>
    </row>
    <row r="8" spans="1:13" ht="20.25" customHeight="1" x14ac:dyDescent="0.2">
      <c r="A8" s="162" t="s">
        <v>37</v>
      </c>
      <c r="B8" s="163"/>
      <c r="C8" s="27">
        <f>C21</f>
        <v>753422.4</v>
      </c>
      <c r="D8" s="27">
        <f>D21</f>
        <v>512531.66000000003</v>
      </c>
      <c r="E8" s="28"/>
      <c r="F8" s="3"/>
      <c r="G8" s="3"/>
      <c r="H8" s="3"/>
      <c r="I8" s="3"/>
      <c r="J8" s="3"/>
      <c r="K8" s="3"/>
      <c r="L8" s="3"/>
      <c r="M8" s="4"/>
    </row>
    <row r="9" spans="1:13" ht="15.75" customHeight="1" x14ac:dyDescent="0.2">
      <c r="A9" s="158" t="s">
        <v>3</v>
      </c>
      <c r="B9" s="159"/>
      <c r="C9" s="29">
        <f>C21-C20</f>
        <v>736072.4</v>
      </c>
      <c r="D9" s="29">
        <f>D21-D20</f>
        <v>495205.09</v>
      </c>
      <c r="E9" s="30"/>
      <c r="F9" s="3"/>
      <c r="G9" s="3"/>
      <c r="H9" s="3"/>
      <c r="I9" s="3"/>
      <c r="J9" s="3"/>
      <c r="K9" s="3"/>
      <c r="L9" s="3"/>
      <c r="M9" s="4"/>
    </row>
    <row r="10" spans="1:13" ht="15" customHeight="1" x14ac:dyDescent="0.2">
      <c r="A10" s="160" t="s">
        <v>4</v>
      </c>
      <c r="B10" s="161"/>
      <c r="C10" s="33">
        <v>2000</v>
      </c>
      <c r="D10" s="33">
        <v>0</v>
      </c>
      <c r="E10" s="24"/>
      <c r="F10" s="3"/>
      <c r="G10" s="3"/>
      <c r="H10" s="3"/>
      <c r="I10" s="3"/>
      <c r="J10" s="3"/>
      <c r="K10" s="3"/>
      <c r="L10" s="3"/>
      <c r="M10" s="4"/>
    </row>
    <row r="11" spans="1:13" ht="28.5" customHeight="1" x14ac:dyDescent="0.2">
      <c r="A11" s="160" t="s">
        <v>5</v>
      </c>
      <c r="B11" s="161"/>
      <c r="C11" s="33">
        <f>424448+42574.89+23000</f>
        <v>490022.89</v>
      </c>
      <c r="D11" s="33">
        <f>314884.08+42574.89+1750.23</f>
        <v>359209.2</v>
      </c>
      <c r="E11" s="34" t="s">
        <v>89</v>
      </c>
      <c r="F11" s="3"/>
      <c r="G11" s="3"/>
      <c r="H11" s="3"/>
      <c r="I11" s="3"/>
      <c r="J11" s="3"/>
      <c r="K11" s="3"/>
      <c r="L11" s="3"/>
      <c r="M11" s="4"/>
    </row>
    <row r="12" spans="1:13" ht="16.5" customHeight="1" x14ac:dyDescent="0.2">
      <c r="A12" s="160" t="s">
        <v>6</v>
      </c>
      <c r="B12" s="161"/>
      <c r="C12" s="33">
        <f>81395.11+10895</f>
        <v>92290.11</v>
      </c>
      <c r="D12" s="33">
        <f>60033.42+7650.04</f>
        <v>67683.459999999992</v>
      </c>
      <c r="E12" s="24"/>
      <c r="F12" s="3"/>
      <c r="G12" s="3"/>
      <c r="H12" s="3"/>
      <c r="I12" s="3"/>
      <c r="J12" s="3"/>
      <c r="K12" s="3"/>
      <c r="L12" s="3"/>
      <c r="M12" s="4"/>
    </row>
    <row r="13" spans="1:13" x14ac:dyDescent="0.2">
      <c r="A13" s="47" t="s">
        <v>7</v>
      </c>
      <c r="B13" s="24"/>
      <c r="C13" s="48" t="s">
        <v>8</v>
      </c>
      <c r="D13" s="33">
        <f>SUM(D14:D18)</f>
        <v>0</v>
      </c>
      <c r="E13" s="10"/>
      <c r="F13" s="3"/>
      <c r="G13" s="3"/>
      <c r="H13" s="3"/>
      <c r="I13" s="3"/>
      <c r="J13" s="3"/>
      <c r="K13" s="3"/>
      <c r="L13" s="3"/>
      <c r="M13" s="4"/>
    </row>
    <row r="14" spans="1:13" x14ac:dyDescent="0.2">
      <c r="A14" s="49"/>
      <c r="B14" s="24" t="s">
        <v>9</v>
      </c>
      <c r="C14" s="48" t="s">
        <v>8</v>
      </c>
      <c r="D14" s="33">
        <v>0</v>
      </c>
      <c r="E14" s="17"/>
      <c r="F14" s="3"/>
      <c r="G14" s="3"/>
      <c r="H14" s="3"/>
      <c r="I14" s="3"/>
      <c r="J14" s="3"/>
      <c r="K14" s="3"/>
      <c r="L14" s="3"/>
      <c r="M14" s="4"/>
    </row>
    <row r="15" spans="1:13" ht="25.5" x14ac:dyDescent="0.2">
      <c r="A15" s="50"/>
      <c r="B15" s="24" t="s">
        <v>10</v>
      </c>
      <c r="C15" s="48" t="s">
        <v>8</v>
      </c>
      <c r="D15" s="33">
        <v>0</v>
      </c>
      <c r="E15" s="17"/>
      <c r="F15" s="3"/>
      <c r="G15" s="3"/>
      <c r="H15" s="3"/>
      <c r="I15" s="3"/>
      <c r="J15" s="3"/>
      <c r="K15" s="3"/>
      <c r="L15" s="3"/>
      <c r="M15" s="4"/>
    </row>
    <row r="16" spans="1:13" x14ac:dyDescent="0.2">
      <c r="A16" s="50"/>
      <c r="B16" s="24" t="s">
        <v>11</v>
      </c>
      <c r="C16" s="48" t="s">
        <v>8</v>
      </c>
      <c r="D16" s="33">
        <v>0</v>
      </c>
      <c r="E16" s="17"/>
      <c r="F16" s="3"/>
      <c r="G16" s="3"/>
      <c r="H16" s="3"/>
      <c r="I16" s="3"/>
      <c r="J16" s="3"/>
      <c r="K16" s="3"/>
      <c r="L16" s="3"/>
      <c r="M16" s="4"/>
    </row>
    <row r="17" spans="1:13" x14ac:dyDescent="0.2">
      <c r="A17" s="51"/>
      <c r="B17" s="24" t="s">
        <v>12</v>
      </c>
      <c r="C17" s="48" t="s">
        <v>8</v>
      </c>
      <c r="D17" s="33">
        <v>0</v>
      </c>
      <c r="E17" s="17"/>
      <c r="F17" s="3"/>
      <c r="G17" s="3"/>
      <c r="H17" s="3"/>
      <c r="I17" s="3"/>
      <c r="J17" s="3"/>
      <c r="K17" s="3"/>
      <c r="L17" s="3"/>
      <c r="M17" s="4"/>
    </row>
    <row r="18" spans="1:13" x14ac:dyDescent="0.2">
      <c r="A18" s="52"/>
      <c r="B18" s="24" t="s">
        <v>13</v>
      </c>
      <c r="C18" s="48" t="s">
        <v>8</v>
      </c>
      <c r="D18" s="33">
        <v>0</v>
      </c>
      <c r="E18" s="17"/>
      <c r="F18" s="3"/>
      <c r="G18" s="3"/>
      <c r="H18" s="3"/>
      <c r="I18" s="3"/>
      <c r="J18" s="3"/>
      <c r="K18" s="3"/>
      <c r="L18" s="3"/>
      <c r="M18" s="4"/>
    </row>
    <row r="19" spans="1:13" ht="185.25" customHeight="1" x14ac:dyDescent="0.2">
      <c r="A19" s="156" t="s">
        <v>14</v>
      </c>
      <c r="B19" s="157"/>
      <c r="C19" s="31">
        <f>22950+1350+92324.4+10000+3200+300+15019+416+200+6000</f>
        <v>151759.4</v>
      </c>
      <c r="D19" s="32">
        <f>5214.97+300+41245.6+4205.12+767.2+12202.93+208.2+47+4121.41</f>
        <v>68312.429999999993</v>
      </c>
      <c r="E19" s="24" t="s">
        <v>74</v>
      </c>
      <c r="F19" s="5"/>
      <c r="G19" s="5"/>
      <c r="H19" s="3"/>
      <c r="I19" s="5"/>
      <c r="J19" s="3"/>
      <c r="K19" s="3"/>
      <c r="L19" s="3"/>
      <c r="M19" s="4"/>
    </row>
    <row r="20" spans="1:13" ht="25.5" customHeight="1" x14ac:dyDescent="0.2">
      <c r="A20" s="156" t="s">
        <v>72</v>
      </c>
      <c r="B20" s="157"/>
      <c r="C20" s="31">
        <v>17350</v>
      </c>
      <c r="D20" s="32">
        <v>17326.57</v>
      </c>
      <c r="E20" s="24" t="s">
        <v>73</v>
      </c>
      <c r="F20" s="5"/>
      <c r="G20" s="5"/>
      <c r="H20" s="3"/>
      <c r="I20" s="5"/>
      <c r="J20" s="3"/>
      <c r="K20" s="3"/>
      <c r="L20" s="3"/>
      <c r="M20" s="4"/>
    </row>
    <row r="21" spans="1:13" ht="18" customHeight="1" x14ac:dyDescent="0.2">
      <c r="A21" s="35" t="s">
        <v>16</v>
      </c>
      <c r="B21" s="14"/>
      <c r="C21" s="37">
        <f>SUM(C10:C12)+C19+C20</f>
        <v>753422.4</v>
      </c>
      <c r="D21" s="37">
        <f>SUM(D10:D13)+D19+D20</f>
        <v>512531.66000000003</v>
      </c>
      <c r="E21" s="15"/>
      <c r="F21" s="3"/>
      <c r="G21" s="3"/>
      <c r="H21" s="3"/>
      <c r="I21" s="3"/>
      <c r="J21" s="3"/>
      <c r="K21" s="3"/>
      <c r="L21" s="3"/>
      <c r="M21" s="4"/>
    </row>
    <row r="22" spans="1:13" ht="29.25" customHeight="1" x14ac:dyDescent="0.2">
      <c r="A22" s="162" t="s">
        <v>38</v>
      </c>
      <c r="B22" s="163"/>
      <c r="C22" s="27">
        <f>C33</f>
        <v>144275</v>
      </c>
      <c r="D22" s="27">
        <f>D33</f>
        <v>73159.72</v>
      </c>
      <c r="E22" s="28"/>
      <c r="F22" s="3"/>
      <c r="G22" s="3"/>
      <c r="H22" s="3"/>
      <c r="I22" s="3"/>
      <c r="J22" s="3"/>
      <c r="K22" s="3"/>
      <c r="L22" s="3"/>
      <c r="M22" s="4"/>
    </row>
    <row r="23" spans="1:13" ht="44.25" customHeight="1" x14ac:dyDescent="0.2">
      <c r="A23" s="158" t="s">
        <v>3</v>
      </c>
      <c r="B23" s="159"/>
      <c r="C23" s="29">
        <f>SUM(C24:C32)+3500</f>
        <v>144275</v>
      </c>
      <c r="D23" s="29">
        <f>SUM(D24:D32)</f>
        <v>73159.72</v>
      </c>
      <c r="E23" s="30" t="s">
        <v>70</v>
      </c>
      <c r="F23" s="3"/>
      <c r="G23" s="3"/>
      <c r="H23" s="3"/>
      <c r="I23" s="3"/>
      <c r="J23" s="3"/>
      <c r="K23" s="3"/>
      <c r="L23" s="3"/>
      <c r="M23" s="4"/>
    </row>
    <row r="24" spans="1:13" x14ac:dyDescent="0.2">
      <c r="A24" s="160" t="s">
        <v>5</v>
      </c>
      <c r="B24" s="161"/>
      <c r="C24" s="33">
        <f>92528.76+6927.24</f>
        <v>99456</v>
      </c>
      <c r="D24" s="33">
        <f>44272.64+6927.24</f>
        <v>51199.88</v>
      </c>
      <c r="E24" s="34"/>
      <c r="F24" s="3"/>
      <c r="G24" s="3"/>
      <c r="H24" s="3"/>
      <c r="I24" s="3"/>
      <c r="J24" s="3"/>
      <c r="K24" s="3"/>
      <c r="L24" s="3"/>
      <c r="M24" s="4"/>
    </row>
    <row r="25" spans="1:13" x14ac:dyDescent="0.2">
      <c r="A25" s="160" t="s">
        <v>6</v>
      </c>
      <c r="B25" s="161"/>
      <c r="C25" s="33">
        <f>17127+1196</f>
        <v>18323</v>
      </c>
      <c r="D25" s="33">
        <f>9016.47+571.86</f>
        <v>9588.33</v>
      </c>
      <c r="E25" s="24"/>
      <c r="F25" s="3"/>
      <c r="G25" s="3"/>
      <c r="H25" s="3"/>
      <c r="I25" s="3"/>
      <c r="J25" s="3"/>
      <c r="K25" s="3"/>
      <c r="L25" s="3"/>
      <c r="M25" s="4"/>
    </row>
    <row r="26" spans="1:13" ht="12.75" customHeight="1" x14ac:dyDescent="0.2">
      <c r="A26" s="47" t="s">
        <v>7</v>
      </c>
      <c r="B26" s="24"/>
      <c r="C26" s="48" t="s">
        <v>8</v>
      </c>
      <c r="D26" s="33">
        <v>0</v>
      </c>
      <c r="E26" s="185"/>
      <c r="F26" s="3"/>
      <c r="G26" s="3"/>
      <c r="H26" s="3"/>
      <c r="I26" s="3"/>
      <c r="J26" s="3"/>
      <c r="K26" s="3"/>
      <c r="L26" s="3"/>
      <c r="M26" s="4"/>
    </row>
    <row r="27" spans="1:13" x14ac:dyDescent="0.2">
      <c r="A27" s="49"/>
      <c r="B27" s="24" t="s">
        <v>9</v>
      </c>
      <c r="C27" s="48" t="s">
        <v>8</v>
      </c>
      <c r="D27" s="33">
        <v>1211.43</v>
      </c>
      <c r="E27" s="186"/>
      <c r="F27" s="3"/>
      <c r="G27" s="3"/>
      <c r="H27" s="3"/>
      <c r="I27" s="3"/>
      <c r="J27" s="3"/>
      <c r="K27" s="3"/>
      <c r="L27" s="3"/>
      <c r="M27" s="4"/>
    </row>
    <row r="28" spans="1:13" ht="25.5" x14ac:dyDescent="0.2">
      <c r="A28" s="50"/>
      <c r="B28" s="24" t="s">
        <v>10</v>
      </c>
      <c r="C28" s="48" t="s">
        <v>8</v>
      </c>
      <c r="D28" s="33">
        <v>838.79</v>
      </c>
      <c r="E28" s="186"/>
      <c r="F28" s="5"/>
      <c r="G28" s="3"/>
      <c r="H28" s="3"/>
      <c r="I28" s="3"/>
      <c r="J28" s="3"/>
      <c r="K28" s="3"/>
      <c r="L28" s="3"/>
      <c r="M28" s="4"/>
    </row>
    <row r="29" spans="1:13" x14ac:dyDescent="0.2">
      <c r="A29" s="50"/>
      <c r="B29" s="24" t="s">
        <v>11</v>
      </c>
      <c r="C29" s="48" t="s">
        <v>8</v>
      </c>
      <c r="D29" s="33">
        <v>0</v>
      </c>
      <c r="E29" s="186"/>
      <c r="F29" s="3"/>
      <c r="G29" s="3"/>
      <c r="H29" s="3"/>
      <c r="I29" s="3"/>
      <c r="J29" s="3"/>
      <c r="K29" s="3"/>
      <c r="L29" s="3"/>
      <c r="M29" s="4"/>
    </row>
    <row r="30" spans="1:13" x14ac:dyDescent="0.2">
      <c r="A30" s="51"/>
      <c r="B30" s="24" t="s">
        <v>12</v>
      </c>
      <c r="C30" s="48" t="s">
        <v>8</v>
      </c>
      <c r="D30" s="33">
        <v>84.26</v>
      </c>
      <c r="E30" s="186"/>
      <c r="F30" s="3"/>
      <c r="G30" s="3"/>
      <c r="H30" s="3"/>
      <c r="I30" s="3"/>
      <c r="J30" s="3"/>
      <c r="K30" s="3"/>
      <c r="L30" s="3"/>
      <c r="M30" s="4"/>
    </row>
    <row r="31" spans="1:13" x14ac:dyDescent="0.2">
      <c r="A31" s="52"/>
      <c r="B31" s="24" t="s">
        <v>13</v>
      </c>
      <c r="C31" s="48" t="s">
        <v>8</v>
      </c>
      <c r="D31" s="33">
        <v>103.06</v>
      </c>
      <c r="E31" s="186"/>
      <c r="F31" s="3"/>
      <c r="G31" s="3"/>
      <c r="H31" s="3"/>
      <c r="I31" s="3"/>
      <c r="J31" s="3"/>
      <c r="K31" s="3"/>
      <c r="L31" s="3"/>
      <c r="M31" s="4"/>
    </row>
    <row r="32" spans="1:13" ht="51" customHeight="1" x14ac:dyDescent="0.2">
      <c r="A32" s="156" t="s">
        <v>14</v>
      </c>
      <c r="B32" s="157"/>
      <c r="C32" s="31">
        <f>1200+18500+2372+924</f>
        <v>22996</v>
      </c>
      <c r="D32" s="32">
        <f>103.06+8036.72+1927.25+170-103.06</f>
        <v>10133.970000000001</v>
      </c>
      <c r="E32" s="54" t="s">
        <v>71</v>
      </c>
      <c r="F32" s="3"/>
      <c r="G32" s="3"/>
      <c r="H32" s="3"/>
      <c r="I32" s="3"/>
      <c r="J32" s="3"/>
      <c r="K32" s="3"/>
      <c r="L32" s="3"/>
      <c r="M32" s="4"/>
    </row>
    <row r="33" spans="1:13" ht="24" customHeight="1" x14ac:dyDescent="0.2">
      <c r="A33" s="35" t="s">
        <v>16</v>
      </c>
      <c r="B33" s="36"/>
      <c r="C33" s="37">
        <f>SUM(C24:C32)+3500</f>
        <v>144275</v>
      </c>
      <c r="D33" s="37">
        <f>SUM(D24:D32)</f>
        <v>73159.72</v>
      </c>
      <c r="E33" s="38"/>
      <c r="F33" s="3"/>
      <c r="G33" s="3"/>
      <c r="H33" s="3"/>
      <c r="I33" s="3"/>
      <c r="J33" s="3"/>
      <c r="K33" s="3"/>
      <c r="L33" s="3"/>
      <c r="M33" s="4"/>
    </row>
    <row r="34" spans="1:13" ht="23.25" customHeight="1" x14ac:dyDescent="0.2">
      <c r="A34" s="162" t="s">
        <v>59</v>
      </c>
      <c r="B34" s="163"/>
      <c r="C34" s="27">
        <f>C37</f>
        <v>1800</v>
      </c>
      <c r="D34" s="27">
        <f>D37</f>
        <v>1777.33</v>
      </c>
      <c r="E34" s="28"/>
      <c r="F34" s="3"/>
      <c r="G34" s="3"/>
      <c r="H34" s="3"/>
      <c r="I34" s="3"/>
      <c r="J34" s="3"/>
      <c r="K34" s="3"/>
      <c r="L34" s="3"/>
      <c r="M34" s="4"/>
    </row>
    <row r="35" spans="1:13" ht="15.75" customHeight="1" x14ac:dyDescent="0.2">
      <c r="A35" s="158" t="s">
        <v>3</v>
      </c>
      <c r="B35" s="159"/>
      <c r="C35" s="29">
        <f>SUM(C36:C36)</f>
        <v>1800</v>
      </c>
      <c r="D35" s="29">
        <f>SUM(D36:D36)</f>
        <v>1777.33</v>
      </c>
      <c r="E35" s="30"/>
      <c r="F35" s="3"/>
      <c r="G35" s="3"/>
      <c r="H35" s="3"/>
      <c r="I35" s="3"/>
      <c r="J35" s="3"/>
      <c r="K35" s="3"/>
      <c r="L35" s="3"/>
      <c r="M35" s="4"/>
    </row>
    <row r="36" spans="1:13" ht="76.5" x14ac:dyDescent="0.2">
      <c r="A36" s="156" t="s">
        <v>14</v>
      </c>
      <c r="B36" s="157"/>
      <c r="C36" s="31">
        <v>1800</v>
      </c>
      <c r="D36" s="32">
        <v>1777.33</v>
      </c>
      <c r="E36" s="24" t="s">
        <v>60</v>
      </c>
      <c r="F36" s="3"/>
      <c r="G36" s="3"/>
      <c r="H36" s="3"/>
      <c r="I36" s="3"/>
      <c r="J36" s="3"/>
      <c r="K36" s="3"/>
      <c r="L36" s="3"/>
      <c r="M36" s="4"/>
    </row>
    <row r="37" spans="1:13" x14ac:dyDescent="0.2">
      <c r="A37" s="35" t="s">
        <v>16</v>
      </c>
      <c r="B37" s="36"/>
      <c r="C37" s="37">
        <f>C35</f>
        <v>1800</v>
      </c>
      <c r="D37" s="37">
        <f>D35</f>
        <v>1777.33</v>
      </c>
      <c r="E37" s="38"/>
      <c r="F37" s="3"/>
      <c r="G37" s="3"/>
      <c r="H37" s="3"/>
      <c r="I37" s="3"/>
      <c r="J37" s="3"/>
      <c r="K37" s="3"/>
      <c r="L37" s="3"/>
      <c r="M37" s="4"/>
    </row>
    <row r="38" spans="1:13" ht="20.25" customHeight="1" x14ac:dyDescent="0.2">
      <c r="A38" s="162" t="s">
        <v>39</v>
      </c>
      <c r="B38" s="163"/>
      <c r="C38" s="27">
        <f>C44</f>
        <v>181446</v>
      </c>
      <c r="D38" s="27">
        <f>D44</f>
        <v>77782.02</v>
      </c>
      <c r="E38" s="28"/>
      <c r="F38" s="3"/>
      <c r="G38" s="3"/>
      <c r="H38" s="3"/>
      <c r="I38" s="3"/>
      <c r="J38" s="3"/>
      <c r="K38" s="3"/>
      <c r="L38" s="3"/>
      <c r="M38" s="4"/>
    </row>
    <row r="39" spans="1:13" x14ac:dyDescent="0.2">
      <c r="A39" s="158" t="s">
        <v>3</v>
      </c>
      <c r="B39" s="159"/>
      <c r="C39" s="29">
        <f>SUM(C40:C43)</f>
        <v>181446</v>
      </c>
      <c r="D39" s="29">
        <f>SUM(D40:D43)</f>
        <v>77782.02</v>
      </c>
      <c r="E39" s="30"/>
      <c r="F39" s="3"/>
      <c r="G39" s="3"/>
      <c r="H39" s="3"/>
      <c r="I39" s="3"/>
      <c r="J39" s="3"/>
      <c r="K39" s="3"/>
      <c r="L39" s="3"/>
      <c r="M39" s="4"/>
    </row>
    <row r="40" spans="1:13" ht="53.25" customHeight="1" x14ac:dyDescent="0.2">
      <c r="A40" s="160" t="s">
        <v>61</v>
      </c>
      <c r="B40" s="161"/>
      <c r="C40" s="29">
        <f>58160.44</f>
        <v>58160.44</v>
      </c>
      <c r="D40" s="29">
        <v>13296</v>
      </c>
      <c r="E40" s="24" t="s">
        <v>63</v>
      </c>
      <c r="F40" s="3"/>
      <c r="G40" s="3"/>
      <c r="H40" s="3"/>
      <c r="I40" s="3"/>
      <c r="J40" s="3"/>
      <c r="K40" s="3"/>
      <c r="L40" s="3"/>
      <c r="M40" s="4"/>
    </row>
    <row r="41" spans="1:13" x14ac:dyDescent="0.2">
      <c r="A41" s="160" t="s">
        <v>5</v>
      </c>
      <c r="B41" s="161"/>
      <c r="C41" s="33">
        <f>88484+8253.56</f>
        <v>96737.56</v>
      </c>
      <c r="D41" s="33">
        <f>43010.6+8253.56</f>
        <v>51264.159999999996</v>
      </c>
      <c r="E41" s="24"/>
      <c r="F41" s="3"/>
      <c r="G41" s="3"/>
      <c r="H41" s="3"/>
      <c r="I41" s="3"/>
      <c r="J41" s="3"/>
      <c r="K41" s="3"/>
      <c r="L41" s="3"/>
      <c r="M41" s="4"/>
    </row>
    <row r="42" spans="1:13" x14ac:dyDescent="0.2">
      <c r="A42" s="160" t="s">
        <v>6</v>
      </c>
      <c r="B42" s="161"/>
      <c r="C42" s="33">
        <f>16935+2410</f>
        <v>19345</v>
      </c>
      <c r="D42" s="33">
        <f>8958.82+1267.19</f>
        <v>10226.01</v>
      </c>
      <c r="E42" s="24"/>
      <c r="F42" s="3"/>
      <c r="G42" s="3"/>
      <c r="H42" s="3"/>
      <c r="I42" s="3"/>
      <c r="J42" s="3"/>
      <c r="K42" s="3"/>
      <c r="L42" s="3"/>
      <c r="M42" s="4"/>
    </row>
    <row r="43" spans="1:13" ht="38.25" x14ac:dyDescent="0.2">
      <c r="A43" s="156" t="s">
        <v>14</v>
      </c>
      <c r="B43" s="157"/>
      <c r="C43" s="31">
        <f>855.55+2790.45+3557</f>
        <v>7203</v>
      </c>
      <c r="D43" s="32">
        <f>105.78+2890.07</f>
        <v>2995.8500000000004</v>
      </c>
      <c r="E43" s="24" t="s">
        <v>62</v>
      </c>
      <c r="F43" s="3"/>
      <c r="G43" s="3"/>
      <c r="H43" s="3"/>
      <c r="I43" s="3"/>
      <c r="J43" s="3"/>
      <c r="K43" s="3"/>
      <c r="L43" s="3"/>
      <c r="M43" s="4"/>
    </row>
    <row r="44" spans="1:13" x14ac:dyDescent="0.2">
      <c r="A44" s="35" t="s">
        <v>16</v>
      </c>
      <c r="B44" s="36"/>
      <c r="C44" s="37">
        <f>C39</f>
        <v>181446</v>
      </c>
      <c r="D44" s="37">
        <f>D39</f>
        <v>77782.02</v>
      </c>
      <c r="E44" s="38"/>
      <c r="F44" s="3"/>
      <c r="G44" s="3"/>
      <c r="H44" s="3"/>
      <c r="I44" s="3"/>
      <c r="J44" s="3"/>
      <c r="K44" s="3"/>
      <c r="L44" s="3"/>
      <c r="M44" s="4"/>
    </row>
    <row r="45" spans="1:13" ht="20.25" customHeight="1" x14ac:dyDescent="0.2">
      <c r="A45" s="188" t="s">
        <v>52</v>
      </c>
      <c r="B45" s="189"/>
      <c r="C45" s="57">
        <f>C46+C60+C66</f>
        <v>1231717.1600000001</v>
      </c>
      <c r="D45" s="57">
        <f>D46+D60+D66</f>
        <v>415514.04000000004</v>
      </c>
      <c r="E45" s="8"/>
      <c r="F45" s="3"/>
      <c r="G45" s="3"/>
      <c r="H45" s="3"/>
      <c r="I45" s="3"/>
      <c r="J45" s="3"/>
      <c r="K45" s="3"/>
      <c r="L45" s="3"/>
      <c r="M45" s="4"/>
    </row>
    <row r="46" spans="1:13" ht="15" customHeight="1" x14ac:dyDescent="0.2">
      <c r="A46" s="162" t="s">
        <v>44</v>
      </c>
      <c r="B46" s="163"/>
      <c r="C46" s="56">
        <f>C59</f>
        <v>314504.88</v>
      </c>
      <c r="D46" s="56">
        <f>D59</f>
        <v>157129.89000000001</v>
      </c>
      <c r="E46" s="8"/>
      <c r="F46" s="3"/>
      <c r="G46" s="3"/>
      <c r="H46" s="3"/>
      <c r="I46" s="3"/>
      <c r="J46" s="3"/>
      <c r="K46" s="3"/>
      <c r="L46" s="3"/>
      <c r="M46" s="4"/>
    </row>
    <row r="47" spans="1:13" x14ac:dyDescent="0.2">
      <c r="A47" s="158" t="s">
        <v>3</v>
      </c>
      <c r="B47" s="159"/>
      <c r="C47" s="29">
        <f>C57+SUM(C48:C50)</f>
        <v>282578.88</v>
      </c>
      <c r="D47" s="29">
        <f>SUM(D48:D56)+D57</f>
        <v>125203.89000000001</v>
      </c>
      <c r="E47" s="9"/>
      <c r="F47" s="3"/>
      <c r="G47" s="3"/>
      <c r="H47" s="3"/>
      <c r="I47" s="3"/>
      <c r="J47" s="3"/>
      <c r="K47" s="3"/>
      <c r="L47" s="3"/>
      <c r="M47" s="4"/>
    </row>
    <row r="48" spans="1:13" ht="25.5" x14ac:dyDescent="0.2">
      <c r="A48" s="26" t="s">
        <v>75</v>
      </c>
      <c r="B48" s="39"/>
      <c r="C48" s="33">
        <v>3000</v>
      </c>
      <c r="D48" s="33">
        <v>2400</v>
      </c>
      <c r="E48" s="24" t="s">
        <v>76</v>
      </c>
      <c r="F48" s="3"/>
      <c r="G48" s="3"/>
      <c r="H48" s="3"/>
      <c r="I48" s="3"/>
      <c r="J48" s="3"/>
      <c r="K48" s="3"/>
      <c r="L48" s="3"/>
      <c r="M48" s="4"/>
    </row>
    <row r="49" spans="1:13" x14ac:dyDescent="0.2">
      <c r="A49" s="160" t="s">
        <v>5</v>
      </c>
      <c r="B49" s="161"/>
      <c r="C49" s="33">
        <f>60762.74+2528.26+21000</f>
        <v>84291</v>
      </c>
      <c r="D49" s="33">
        <f>31939.04+2528.26+7413</f>
        <v>41880.300000000003</v>
      </c>
      <c r="E49" s="10"/>
      <c r="F49" s="3"/>
      <c r="G49" s="3"/>
      <c r="H49" s="3"/>
      <c r="I49" s="3"/>
      <c r="J49" s="3"/>
      <c r="K49" s="3"/>
      <c r="L49" s="3"/>
      <c r="M49" s="4"/>
    </row>
    <row r="50" spans="1:13" x14ac:dyDescent="0.2">
      <c r="A50" s="160" t="s">
        <v>6</v>
      </c>
      <c r="B50" s="161"/>
      <c r="C50" s="33">
        <f>14302+2035</f>
        <v>16337</v>
      </c>
      <c r="D50" s="33">
        <f>7200.63+834.49</f>
        <v>8035.12</v>
      </c>
      <c r="E50" s="10"/>
      <c r="F50" s="3"/>
      <c r="G50" s="3"/>
      <c r="H50" s="3"/>
      <c r="I50" s="3"/>
      <c r="J50" s="3"/>
      <c r="K50" s="3"/>
      <c r="L50" s="3"/>
      <c r="M50" s="4"/>
    </row>
    <row r="51" spans="1:13" x14ac:dyDescent="0.2">
      <c r="A51" s="47" t="s">
        <v>7</v>
      </c>
      <c r="B51" s="24"/>
      <c r="C51" s="48" t="s">
        <v>8</v>
      </c>
      <c r="D51" s="11"/>
      <c r="E51" s="10"/>
      <c r="F51" s="3"/>
      <c r="G51" s="3"/>
      <c r="H51" s="3"/>
      <c r="I51" s="3"/>
      <c r="J51" s="3"/>
      <c r="K51" s="3"/>
      <c r="L51" s="3"/>
      <c r="M51" s="4"/>
    </row>
    <row r="52" spans="1:13" ht="12.75" customHeight="1" x14ac:dyDescent="0.2">
      <c r="A52" s="12"/>
      <c r="B52" s="24" t="s">
        <v>9</v>
      </c>
      <c r="C52" s="48" t="s">
        <v>8</v>
      </c>
      <c r="D52" s="33">
        <v>1191.67</v>
      </c>
      <c r="E52" s="185" t="s">
        <v>92</v>
      </c>
      <c r="F52" s="3"/>
      <c r="G52" s="3"/>
      <c r="H52" s="3"/>
      <c r="I52" s="3"/>
      <c r="J52" s="3"/>
      <c r="K52" s="3"/>
      <c r="L52" s="3"/>
      <c r="M52" s="4"/>
    </row>
    <row r="53" spans="1:13" ht="25.5" x14ac:dyDescent="0.2">
      <c r="A53" s="13"/>
      <c r="B53" s="24" t="s">
        <v>10</v>
      </c>
      <c r="C53" s="48" t="s">
        <v>8</v>
      </c>
      <c r="D53" s="33">
        <v>136.63</v>
      </c>
      <c r="E53" s="186"/>
      <c r="F53" s="3"/>
      <c r="G53" s="3"/>
      <c r="H53" s="3"/>
      <c r="I53" s="3"/>
      <c r="J53" s="3"/>
      <c r="K53" s="3"/>
      <c r="L53" s="3"/>
      <c r="M53" s="4"/>
    </row>
    <row r="54" spans="1:13" x14ac:dyDescent="0.2">
      <c r="A54" s="13"/>
      <c r="B54" s="24" t="s">
        <v>11</v>
      </c>
      <c r="C54" s="48" t="s">
        <v>8</v>
      </c>
      <c r="D54" s="33">
        <v>0</v>
      </c>
      <c r="E54" s="186"/>
      <c r="F54" s="3"/>
      <c r="G54" s="3"/>
      <c r="H54" s="3"/>
      <c r="I54" s="3"/>
      <c r="J54" s="3"/>
      <c r="K54" s="3"/>
      <c r="L54" s="3"/>
      <c r="M54" s="4"/>
    </row>
    <row r="55" spans="1:13" x14ac:dyDescent="0.2">
      <c r="A55" s="13"/>
      <c r="B55" s="24" t="s">
        <v>12</v>
      </c>
      <c r="C55" s="48" t="s">
        <v>8</v>
      </c>
      <c r="D55" s="33">
        <v>33.35</v>
      </c>
      <c r="E55" s="186"/>
      <c r="F55" s="3"/>
      <c r="G55" s="3"/>
      <c r="H55" s="3"/>
      <c r="I55" s="3"/>
      <c r="J55" s="3"/>
      <c r="K55" s="3"/>
      <c r="L55" s="3"/>
      <c r="M55" s="4"/>
    </row>
    <row r="56" spans="1:13" x14ac:dyDescent="0.2">
      <c r="A56" s="16"/>
      <c r="B56" s="24" t="s">
        <v>13</v>
      </c>
      <c r="C56" s="48" t="s">
        <v>8</v>
      </c>
      <c r="D56" s="33">
        <v>41.06</v>
      </c>
      <c r="E56" s="187"/>
      <c r="F56" s="3"/>
      <c r="G56" s="3"/>
      <c r="H56" s="3"/>
      <c r="I56" s="3"/>
      <c r="J56" s="3"/>
      <c r="K56" s="3"/>
      <c r="L56" s="3"/>
      <c r="M56" s="4"/>
    </row>
    <row r="57" spans="1:13" ht="113.25" customHeight="1" x14ac:dyDescent="0.2">
      <c r="A57" s="156" t="s">
        <v>14</v>
      </c>
      <c r="B57" s="157"/>
      <c r="C57" s="55">
        <f>65838.58+2160+107473.3+1700+1779</f>
        <v>178950.88</v>
      </c>
      <c r="D57" s="32">
        <f>8209.09+61278.35+593.94+1445.44-41.06</f>
        <v>71485.760000000009</v>
      </c>
      <c r="E57" s="24" t="s">
        <v>93</v>
      </c>
      <c r="F57" s="3"/>
      <c r="G57" s="3"/>
      <c r="H57" s="3"/>
      <c r="I57" s="3"/>
      <c r="J57" s="3"/>
      <c r="K57" s="3"/>
      <c r="L57" s="3"/>
      <c r="M57" s="4"/>
    </row>
    <row r="58" spans="1:13" ht="27" customHeight="1" x14ac:dyDescent="0.2">
      <c r="A58" s="158" t="s">
        <v>15</v>
      </c>
      <c r="B58" s="159"/>
      <c r="C58" s="33">
        <v>31926</v>
      </c>
      <c r="D58" s="33">
        <v>31926</v>
      </c>
      <c r="E58" s="24" t="s">
        <v>77</v>
      </c>
      <c r="F58" s="3"/>
      <c r="G58" s="3"/>
      <c r="H58" s="3"/>
      <c r="I58" s="3"/>
      <c r="J58" s="3"/>
      <c r="K58" s="3"/>
      <c r="L58" s="3"/>
      <c r="M58" s="4"/>
    </row>
    <row r="59" spans="1:13" x14ac:dyDescent="0.2">
      <c r="A59" s="35" t="s">
        <v>16</v>
      </c>
      <c r="B59" s="36"/>
      <c r="C59" s="37">
        <f>C47+C58</f>
        <v>314504.88</v>
      </c>
      <c r="D59" s="37">
        <f>D47+D58</f>
        <v>157129.89000000001</v>
      </c>
      <c r="E59" s="15"/>
      <c r="F59" s="3"/>
      <c r="G59" s="3"/>
      <c r="H59" s="3"/>
      <c r="I59" s="3"/>
      <c r="J59" s="3"/>
      <c r="K59" s="3"/>
      <c r="L59" s="3"/>
      <c r="M59" s="4"/>
    </row>
    <row r="60" spans="1:13" ht="41.25" customHeight="1" x14ac:dyDescent="0.2">
      <c r="A60" s="162" t="s">
        <v>45</v>
      </c>
      <c r="B60" s="163"/>
      <c r="C60" s="27">
        <f>C65</f>
        <v>527469.78</v>
      </c>
      <c r="D60" s="27">
        <f>D65</f>
        <v>219318.65</v>
      </c>
      <c r="E60" s="8"/>
      <c r="F60" s="3"/>
      <c r="G60" s="3"/>
      <c r="H60" s="3"/>
      <c r="I60" s="3"/>
      <c r="J60" s="3"/>
      <c r="K60" s="3"/>
      <c r="L60" s="3"/>
      <c r="M60" s="4"/>
    </row>
    <row r="61" spans="1:13" x14ac:dyDescent="0.2">
      <c r="A61" s="158" t="s">
        <v>3</v>
      </c>
      <c r="B61" s="159"/>
      <c r="C61" s="29">
        <f>SUM(C62:C64)</f>
        <v>527469.78</v>
      </c>
      <c r="D61" s="29">
        <f>SUM(D62:D63)+D64</f>
        <v>219318.65</v>
      </c>
      <c r="E61" s="53"/>
      <c r="F61" s="3"/>
      <c r="G61" s="3"/>
      <c r="H61" s="3"/>
      <c r="I61" s="3"/>
      <c r="J61" s="3"/>
      <c r="K61" s="3"/>
      <c r="L61" s="3"/>
      <c r="M61" s="4"/>
    </row>
    <row r="62" spans="1:13" ht="25.5" customHeight="1" x14ac:dyDescent="0.2">
      <c r="A62" s="160" t="s">
        <v>46</v>
      </c>
      <c r="B62" s="161"/>
      <c r="C62" s="33">
        <f>136868+30000</f>
        <v>166868</v>
      </c>
      <c r="D62" s="33">
        <f>22160+27100</f>
        <v>49260</v>
      </c>
      <c r="E62" s="185" t="s">
        <v>78</v>
      </c>
      <c r="F62" s="5"/>
      <c r="G62" s="3"/>
      <c r="H62" s="3"/>
      <c r="I62" s="3"/>
      <c r="J62" s="3"/>
      <c r="K62" s="3"/>
      <c r="L62" s="3"/>
      <c r="M62" s="4"/>
    </row>
    <row r="63" spans="1:13" ht="24.75" customHeight="1" x14ac:dyDescent="0.2">
      <c r="A63" s="160" t="s">
        <v>48</v>
      </c>
      <c r="B63" s="161"/>
      <c r="C63" s="33">
        <f>18432+3072</f>
        <v>21504</v>
      </c>
      <c r="D63" s="33">
        <f>3850.51+542.92</f>
        <v>4393.43</v>
      </c>
      <c r="E63" s="186"/>
      <c r="F63" s="3"/>
      <c r="G63" s="3"/>
      <c r="H63" s="3"/>
      <c r="I63" s="3"/>
      <c r="J63" s="3"/>
      <c r="K63" s="3"/>
      <c r="L63" s="3"/>
      <c r="M63" s="4"/>
    </row>
    <row r="64" spans="1:13" ht="25.5" customHeight="1" x14ac:dyDescent="0.2">
      <c r="A64" s="156" t="s">
        <v>49</v>
      </c>
      <c r="B64" s="157"/>
      <c r="C64" s="31">
        <f>6144+332153.78+800</f>
        <v>339097.78</v>
      </c>
      <c r="D64" s="32">
        <f>500+164866+299.22</f>
        <v>165665.22</v>
      </c>
      <c r="E64" s="186"/>
      <c r="F64" s="3"/>
      <c r="G64" s="3"/>
      <c r="H64" s="3"/>
      <c r="I64" s="3"/>
      <c r="J64" s="3"/>
      <c r="K64" s="3"/>
      <c r="L64" s="3"/>
      <c r="M64" s="4"/>
    </row>
    <row r="65" spans="1:13" x14ac:dyDescent="0.2">
      <c r="A65" s="35" t="s">
        <v>16</v>
      </c>
      <c r="B65" s="36"/>
      <c r="C65" s="37">
        <f>C61</f>
        <v>527469.78</v>
      </c>
      <c r="D65" s="37">
        <f>D61</f>
        <v>219318.65</v>
      </c>
      <c r="E65" s="38"/>
      <c r="F65" s="3"/>
      <c r="G65" s="3"/>
      <c r="H65" s="3"/>
      <c r="I65" s="3"/>
      <c r="J65" s="3"/>
      <c r="K65" s="3"/>
      <c r="L65" s="3"/>
      <c r="M65" s="4"/>
    </row>
    <row r="66" spans="1:13" ht="39.75" customHeight="1" x14ac:dyDescent="0.2">
      <c r="A66" s="162" t="s">
        <v>79</v>
      </c>
      <c r="B66" s="163"/>
      <c r="C66" s="27">
        <f>C67</f>
        <v>389742.5</v>
      </c>
      <c r="D66" s="27">
        <f>D67</f>
        <v>39065.5</v>
      </c>
      <c r="E66" s="28"/>
      <c r="F66" s="3"/>
      <c r="G66" s="3"/>
      <c r="H66" s="3"/>
      <c r="I66" s="3"/>
      <c r="J66" s="3"/>
      <c r="K66" s="3"/>
      <c r="L66" s="3"/>
      <c r="M66" s="4"/>
    </row>
    <row r="67" spans="1:13" x14ac:dyDescent="0.2">
      <c r="A67" s="158" t="s">
        <v>3</v>
      </c>
      <c r="B67" s="159"/>
      <c r="C67" s="33">
        <f>C74</f>
        <v>389742.5</v>
      </c>
      <c r="D67" s="33">
        <f>D74</f>
        <v>39065.5</v>
      </c>
      <c r="E67" s="53"/>
      <c r="F67" s="3"/>
      <c r="G67" s="3"/>
      <c r="H67" s="3"/>
      <c r="I67" s="3"/>
      <c r="J67" s="3"/>
      <c r="K67" s="3"/>
      <c r="L67" s="3"/>
      <c r="M67" s="4"/>
    </row>
    <row r="68" spans="1:13" ht="33" customHeight="1" x14ac:dyDescent="0.2">
      <c r="A68" s="160" t="s">
        <v>46</v>
      </c>
      <c r="B68" s="161"/>
      <c r="C68" s="33">
        <f>84053+15092</f>
        <v>99145</v>
      </c>
      <c r="D68" s="33">
        <f>15583.36+806.03</f>
        <v>16389.39</v>
      </c>
      <c r="E68" s="185" t="s">
        <v>94</v>
      </c>
      <c r="F68" s="3"/>
      <c r="G68" s="3"/>
      <c r="H68" s="3"/>
      <c r="I68" s="3"/>
      <c r="J68" s="3"/>
      <c r="K68" s="3"/>
      <c r="L68" s="3"/>
      <c r="M68" s="4"/>
    </row>
    <row r="69" spans="1:13" ht="28.5" customHeight="1" x14ac:dyDescent="0.2">
      <c r="A69" s="160" t="s">
        <v>47</v>
      </c>
      <c r="B69" s="161"/>
      <c r="C69" s="33">
        <f>14834+2665</f>
        <v>17499</v>
      </c>
      <c r="D69" s="33">
        <f>1816.64+93.97</f>
        <v>1910.6100000000001</v>
      </c>
      <c r="E69" s="186"/>
      <c r="F69" s="3"/>
      <c r="G69" s="3"/>
      <c r="H69" s="3"/>
      <c r="I69" s="3"/>
      <c r="J69" s="3"/>
      <c r="K69" s="3"/>
      <c r="L69" s="3"/>
      <c r="M69" s="4"/>
    </row>
    <row r="70" spans="1:13" ht="48.75" customHeight="1" x14ac:dyDescent="0.2">
      <c r="A70" s="160" t="s">
        <v>48</v>
      </c>
      <c r="B70" s="161"/>
      <c r="C70" s="33">
        <f>11320+1887</f>
        <v>13207</v>
      </c>
      <c r="D70" s="33">
        <f>2720.85+381.78</f>
        <v>3102.63</v>
      </c>
      <c r="E70" s="186"/>
      <c r="F70" s="3"/>
      <c r="G70" s="3"/>
      <c r="H70" s="3"/>
      <c r="I70" s="3"/>
      <c r="J70" s="3"/>
      <c r="K70" s="3"/>
      <c r="L70" s="3"/>
      <c r="M70" s="4"/>
    </row>
    <row r="71" spans="1:13" ht="34.5" customHeight="1" x14ac:dyDescent="0.2">
      <c r="A71" s="160" t="s">
        <v>50</v>
      </c>
      <c r="B71" s="161"/>
      <c r="C71" s="33">
        <f>1997+332</f>
        <v>2329</v>
      </c>
      <c r="D71" s="33">
        <f>317.19+44.52</f>
        <v>361.71</v>
      </c>
      <c r="E71" s="186"/>
      <c r="F71" s="3"/>
      <c r="G71" s="3"/>
      <c r="H71" s="3"/>
      <c r="I71" s="3"/>
      <c r="J71" s="3"/>
      <c r="K71" s="3"/>
      <c r="L71" s="3"/>
      <c r="M71" s="4"/>
    </row>
    <row r="72" spans="1:13" ht="49.5" customHeight="1" x14ac:dyDescent="0.2">
      <c r="A72" s="156" t="s">
        <v>49</v>
      </c>
      <c r="B72" s="157"/>
      <c r="C72" s="31">
        <f>3774+8597.76+205203.22+1354.15</f>
        <v>218929.13</v>
      </c>
      <c r="D72" s="32">
        <f>1742.67+13648.93+103.29</f>
        <v>15494.890000000001</v>
      </c>
      <c r="E72" s="186"/>
      <c r="F72" s="3"/>
      <c r="G72" s="3"/>
      <c r="H72" s="3"/>
      <c r="I72" s="3"/>
      <c r="J72" s="3"/>
      <c r="K72" s="3"/>
      <c r="L72" s="3"/>
      <c r="M72" s="4"/>
    </row>
    <row r="73" spans="1:13" ht="42.75" customHeight="1" x14ac:dyDescent="0.2">
      <c r="A73" s="156" t="s">
        <v>51</v>
      </c>
      <c r="B73" s="157"/>
      <c r="C73" s="31">
        <f>665+1002.24+36808.28+157.85</f>
        <v>38633.369999999995</v>
      </c>
      <c r="D73" s="32">
        <f>203.16+1591.07+12.04</f>
        <v>1806.27</v>
      </c>
      <c r="E73" s="187"/>
      <c r="F73" s="3"/>
      <c r="G73" s="3"/>
      <c r="H73" s="3"/>
      <c r="I73" s="3"/>
      <c r="J73" s="3"/>
      <c r="K73" s="3"/>
      <c r="L73" s="3"/>
      <c r="M73" s="4"/>
    </row>
    <row r="74" spans="1:13" x14ac:dyDescent="0.2">
      <c r="A74" s="35" t="s">
        <v>16</v>
      </c>
      <c r="B74" s="36"/>
      <c r="C74" s="37">
        <f>SUM(C68:C73)</f>
        <v>389742.5</v>
      </c>
      <c r="D74" s="37">
        <f>SUM(D68:D73)</f>
        <v>39065.5</v>
      </c>
      <c r="E74" s="38"/>
      <c r="F74" s="3"/>
      <c r="G74" s="3"/>
      <c r="H74" s="3"/>
      <c r="I74" s="3"/>
      <c r="J74" s="3"/>
      <c r="K74" s="3"/>
      <c r="L74" s="3"/>
      <c r="M74" s="4"/>
    </row>
    <row r="75" spans="1:13" ht="21.75" customHeight="1" x14ac:dyDescent="0.2">
      <c r="A75" s="162" t="s">
        <v>40</v>
      </c>
      <c r="B75" s="163"/>
      <c r="C75" s="27">
        <f>C82</f>
        <v>3966428</v>
      </c>
      <c r="D75" s="27">
        <f>D82</f>
        <v>1566705.3699999999</v>
      </c>
      <c r="E75" s="28"/>
      <c r="F75" s="3"/>
      <c r="G75" s="3"/>
      <c r="H75" s="3"/>
      <c r="I75" s="3"/>
      <c r="J75" s="3"/>
      <c r="K75" s="3"/>
      <c r="L75" s="3"/>
      <c r="M75" s="4"/>
    </row>
    <row r="76" spans="1:13" x14ac:dyDescent="0.2">
      <c r="A76" s="158" t="s">
        <v>3</v>
      </c>
      <c r="B76" s="159"/>
      <c r="C76" s="29">
        <f>SUM(C77:C81)</f>
        <v>3966428</v>
      </c>
      <c r="D76" s="29">
        <f>SUM(D77:D81)</f>
        <v>1566705.3699999999</v>
      </c>
      <c r="E76" s="30"/>
      <c r="F76" s="3"/>
      <c r="G76" s="3"/>
      <c r="H76" s="3"/>
      <c r="I76" s="3"/>
      <c r="J76" s="3"/>
      <c r="K76" s="3"/>
      <c r="L76" s="3"/>
      <c r="M76" s="4"/>
    </row>
    <row r="77" spans="1:13" ht="51" x14ac:dyDescent="0.2">
      <c r="A77" s="156" t="s">
        <v>4</v>
      </c>
      <c r="B77" s="157"/>
      <c r="C77" s="32">
        <v>2837797</v>
      </c>
      <c r="D77" s="32">
        <v>1175698.24</v>
      </c>
      <c r="E77" s="24" t="s">
        <v>41</v>
      </c>
      <c r="F77" s="3"/>
      <c r="G77" s="3"/>
      <c r="H77" s="3"/>
      <c r="I77" s="3"/>
      <c r="J77" s="3"/>
      <c r="K77" s="3"/>
      <c r="L77" s="3"/>
      <c r="M77" s="4"/>
    </row>
    <row r="78" spans="1:13" ht="25.5" x14ac:dyDescent="0.2">
      <c r="A78" s="156" t="s">
        <v>4</v>
      </c>
      <c r="B78" s="157"/>
      <c r="C78" s="32">
        <v>117000</v>
      </c>
      <c r="D78" s="32">
        <v>39000</v>
      </c>
      <c r="E78" s="24" t="s">
        <v>68</v>
      </c>
      <c r="F78" s="3"/>
      <c r="G78" s="3"/>
      <c r="H78" s="3"/>
      <c r="I78" s="3"/>
      <c r="J78" s="3"/>
      <c r="K78" s="3"/>
      <c r="L78" s="3"/>
      <c r="M78" s="4"/>
    </row>
    <row r="79" spans="1:13" x14ac:dyDescent="0.2">
      <c r="A79" s="160" t="s">
        <v>5</v>
      </c>
      <c r="B79" s="161"/>
      <c r="C79" s="33">
        <f>244555+17836.01+273000</f>
        <v>535391.01</v>
      </c>
      <c r="D79" s="33">
        <f>102678.93+17836.01+92016.79</f>
        <v>212531.72999999998</v>
      </c>
      <c r="E79" s="34"/>
      <c r="F79" s="3"/>
      <c r="G79" s="3"/>
      <c r="H79" s="3"/>
      <c r="I79" s="3"/>
      <c r="J79" s="3"/>
      <c r="K79" s="3"/>
      <c r="L79" s="3"/>
      <c r="M79" s="4"/>
    </row>
    <row r="80" spans="1:13" x14ac:dyDescent="0.2">
      <c r="A80" s="160" t="s">
        <v>6</v>
      </c>
      <c r="B80" s="161"/>
      <c r="C80" s="33">
        <f>88908.99+11685</f>
        <v>100593.99</v>
      </c>
      <c r="D80" s="33">
        <f>36872.68+3131.24</f>
        <v>40003.919999999998</v>
      </c>
      <c r="E80" s="24"/>
      <c r="F80" s="3"/>
      <c r="G80" s="3"/>
      <c r="H80" s="3"/>
      <c r="I80" s="3"/>
      <c r="J80" s="3"/>
      <c r="K80" s="3"/>
      <c r="L80" s="3"/>
      <c r="M80" s="4"/>
    </row>
    <row r="81" spans="1:13" ht="114.75" x14ac:dyDescent="0.2">
      <c r="A81" s="156" t="s">
        <v>14</v>
      </c>
      <c r="B81" s="157"/>
      <c r="C81" s="31">
        <f>64500+500+24000+266124+13000+500+500+6522</f>
        <v>375646</v>
      </c>
      <c r="D81" s="32">
        <f>1500+382.6+7099.15+80391.18+4768.12+31.3+5299.13</f>
        <v>99471.48</v>
      </c>
      <c r="E81" s="24" t="s">
        <v>69</v>
      </c>
      <c r="F81" s="3"/>
      <c r="G81" s="3"/>
      <c r="H81" s="3"/>
      <c r="I81" s="3"/>
      <c r="J81" s="3"/>
      <c r="K81" s="3"/>
      <c r="L81" s="3"/>
      <c r="M81" s="4"/>
    </row>
    <row r="82" spans="1:13" x14ac:dyDescent="0.2">
      <c r="A82" s="35" t="s">
        <v>16</v>
      </c>
      <c r="B82" s="36"/>
      <c r="C82" s="37">
        <f>C76</f>
        <v>3966428</v>
      </c>
      <c r="D82" s="37">
        <f>D76</f>
        <v>1566705.3699999999</v>
      </c>
      <c r="E82" s="38"/>
      <c r="F82" s="3"/>
      <c r="G82" s="3"/>
      <c r="H82" s="3"/>
      <c r="I82" s="3"/>
      <c r="J82" s="3"/>
      <c r="K82" s="3"/>
      <c r="L82" s="3"/>
      <c r="M82" s="4"/>
    </row>
    <row r="83" spans="1:13" ht="21.75" customHeight="1" x14ac:dyDescent="0.2">
      <c r="A83" s="162" t="s">
        <v>42</v>
      </c>
      <c r="B83" s="163"/>
      <c r="C83" s="27">
        <f>C87</f>
        <v>304400</v>
      </c>
      <c r="D83" s="27">
        <f>D87</f>
        <v>71367.790000000008</v>
      </c>
      <c r="E83" s="28"/>
      <c r="F83" s="3"/>
      <c r="G83" s="3"/>
      <c r="H83" s="3"/>
      <c r="I83" s="3"/>
      <c r="J83" s="3"/>
      <c r="K83" s="3"/>
      <c r="L83" s="3"/>
      <c r="M83" s="4"/>
    </row>
    <row r="84" spans="1:13" ht="18.75" customHeight="1" x14ac:dyDescent="0.2">
      <c r="A84" s="158" t="s">
        <v>3</v>
      </c>
      <c r="B84" s="159"/>
      <c r="C84" s="29">
        <f>SUM(C85:C86)</f>
        <v>304400</v>
      </c>
      <c r="D84" s="29">
        <f>SUM(D85:D86)</f>
        <v>71367.790000000008</v>
      </c>
      <c r="E84" s="30"/>
      <c r="F84" s="3"/>
      <c r="G84" s="3"/>
      <c r="H84" s="3"/>
      <c r="I84" s="3"/>
      <c r="J84" s="3"/>
      <c r="K84" s="3"/>
      <c r="L84" s="3"/>
      <c r="M84" s="4"/>
    </row>
    <row r="85" spans="1:13" ht="51" x14ac:dyDescent="0.2">
      <c r="A85" s="156" t="s">
        <v>4</v>
      </c>
      <c r="B85" s="157"/>
      <c r="C85" s="32">
        <v>139568</v>
      </c>
      <c r="D85" s="32">
        <v>26367.79</v>
      </c>
      <c r="E85" s="24" t="s">
        <v>55</v>
      </c>
      <c r="F85" s="3"/>
      <c r="G85" s="3"/>
      <c r="H85" s="3"/>
      <c r="I85" s="3"/>
      <c r="J85" s="3"/>
      <c r="K85" s="3"/>
      <c r="L85" s="3"/>
      <c r="M85" s="4"/>
    </row>
    <row r="86" spans="1:13" ht="56.25" customHeight="1" x14ac:dyDescent="0.2">
      <c r="A86" s="156" t="s">
        <v>14</v>
      </c>
      <c r="B86" s="157"/>
      <c r="C86" s="31">
        <f>20832+144000</f>
        <v>164832</v>
      </c>
      <c r="D86" s="32">
        <v>45000</v>
      </c>
      <c r="E86" s="24" t="s">
        <v>67</v>
      </c>
      <c r="F86" s="3"/>
      <c r="G86" s="3"/>
      <c r="H86" s="3"/>
      <c r="I86" s="3"/>
      <c r="J86" s="3"/>
      <c r="K86" s="3"/>
      <c r="L86" s="3"/>
      <c r="M86" s="4"/>
    </row>
    <row r="87" spans="1:13" x14ac:dyDescent="0.2">
      <c r="A87" s="35" t="s">
        <v>16</v>
      </c>
      <c r="B87" s="36"/>
      <c r="C87" s="37">
        <f>C84</f>
        <v>304400</v>
      </c>
      <c r="D87" s="37">
        <f>D84</f>
        <v>71367.790000000008</v>
      </c>
      <c r="E87" s="38"/>
      <c r="F87" s="3"/>
      <c r="G87" s="3"/>
      <c r="H87" s="3"/>
      <c r="I87" s="3"/>
      <c r="J87" s="3"/>
      <c r="K87" s="3"/>
      <c r="L87" s="3"/>
      <c r="M87" s="4"/>
    </row>
    <row r="88" spans="1:13" x14ac:dyDescent="0.2">
      <c r="A88" s="151" t="s">
        <v>17</v>
      </c>
      <c r="B88" s="151"/>
      <c r="C88" s="42"/>
      <c r="D88" s="43"/>
      <c r="E88" s="44"/>
      <c r="F88" s="3"/>
      <c r="G88" s="3"/>
      <c r="H88" s="3"/>
      <c r="I88" s="3"/>
      <c r="J88" s="3"/>
      <c r="K88" s="3"/>
      <c r="L88" s="3"/>
      <c r="M88" s="4"/>
    </row>
    <row r="89" spans="1:13" ht="30" customHeight="1" x14ac:dyDescent="0.2">
      <c r="A89" s="152" t="s">
        <v>18</v>
      </c>
      <c r="B89" s="153"/>
      <c r="C89" s="154">
        <v>634</v>
      </c>
      <c r="D89" s="155"/>
      <c r="E89" s="24" t="s">
        <v>66</v>
      </c>
      <c r="F89" s="3"/>
      <c r="G89" s="3"/>
      <c r="H89" s="3"/>
      <c r="I89" s="3"/>
      <c r="J89" s="3"/>
      <c r="K89" s="3"/>
      <c r="L89" s="3"/>
      <c r="M89" s="4"/>
    </row>
    <row r="90" spans="1:13" ht="42" customHeight="1" x14ac:dyDescent="0.2">
      <c r="A90" s="160" t="s">
        <v>19</v>
      </c>
      <c r="B90" s="161"/>
      <c r="C90" s="154">
        <v>18</v>
      </c>
      <c r="D90" s="155"/>
      <c r="E90" s="24" t="s">
        <v>64</v>
      </c>
      <c r="F90" s="3"/>
      <c r="G90" s="3"/>
      <c r="H90" s="3"/>
      <c r="I90" s="3"/>
      <c r="J90" s="3"/>
      <c r="K90" s="3"/>
      <c r="L90" s="3"/>
      <c r="M90" s="4"/>
    </row>
    <row r="91" spans="1:13" ht="42.75" customHeight="1" x14ac:dyDescent="0.2">
      <c r="A91" s="152" t="s">
        <v>20</v>
      </c>
      <c r="B91" s="153"/>
      <c r="C91" s="154">
        <v>112</v>
      </c>
      <c r="D91" s="155"/>
      <c r="E91" s="24" t="s">
        <v>65</v>
      </c>
      <c r="F91" s="3"/>
      <c r="G91" s="3"/>
      <c r="H91" s="3"/>
      <c r="I91" s="3"/>
      <c r="J91" s="3"/>
      <c r="K91" s="3"/>
      <c r="L91" s="3"/>
      <c r="M91" s="4"/>
    </row>
    <row r="92" spans="1:13" ht="19.5" customHeight="1" x14ac:dyDescent="0.2">
      <c r="A92" s="152" t="s">
        <v>21</v>
      </c>
      <c r="B92" s="153"/>
      <c r="C92" s="154">
        <v>159</v>
      </c>
      <c r="D92" s="155"/>
      <c r="E92" s="45"/>
      <c r="F92" s="3"/>
      <c r="G92" s="3"/>
      <c r="H92" s="3"/>
      <c r="I92" s="3"/>
      <c r="J92" s="3"/>
      <c r="K92" s="3"/>
      <c r="L92" s="3"/>
      <c r="M92" s="4"/>
    </row>
    <row r="93" spans="1:13" ht="23.25" customHeight="1" x14ac:dyDescent="0.2">
      <c r="A93" s="162" t="s">
        <v>84</v>
      </c>
      <c r="B93" s="180"/>
      <c r="C93" s="180"/>
      <c r="D93" s="180"/>
      <c r="E93" s="163"/>
      <c r="F93" s="3"/>
      <c r="G93" s="3"/>
      <c r="H93" s="3"/>
      <c r="I93" s="3"/>
      <c r="J93" s="3"/>
      <c r="K93" s="3"/>
      <c r="L93" s="3"/>
      <c r="M93" s="4"/>
    </row>
    <row r="94" spans="1:13" ht="40.5" customHeight="1" x14ac:dyDescent="0.2">
      <c r="A94" s="24" t="s">
        <v>22</v>
      </c>
      <c r="B94" s="152">
        <v>20</v>
      </c>
      <c r="C94" s="167"/>
      <c r="D94" s="153"/>
      <c r="E94" s="58" t="s">
        <v>85</v>
      </c>
      <c r="F94" s="3"/>
      <c r="G94" s="3"/>
      <c r="H94" s="3"/>
      <c r="I94" s="3"/>
      <c r="J94" s="3"/>
      <c r="K94" s="3"/>
      <c r="L94" s="3"/>
      <c r="M94" s="4"/>
    </row>
    <row r="95" spans="1:13" ht="54" customHeight="1" x14ac:dyDescent="0.2">
      <c r="A95" s="25" t="s">
        <v>23</v>
      </c>
      <c r="B95" s="160" t="s">
        <v>58</v>
      </c>
      <c r="C95" s="168"/>
      <c r="D95" s="161"/>
      <c r="E95" s="18"/>
      <c r="F95" s="3"/>
      <c r="G95" s="3"/>
      <c r="H95" s="3"/>
      <c r="I95" s="3"/>
      <c r="J95" s="3"/>
      <c r="K95" s="3"/>
      <c r="L95" s="3"/>
      <c r="M95" s="4"/>
    </row>
    <row r="96" spans="1:13" ht="33" customHeight="1" x14ac:dyDescent="0.2">
      <c r="A96" s="24" t="s">
        <v>24</v>
      </c>
      <c r="B96" s="169">
        <v>120314.79</v>
      </c>
      <c r="C96" s="170"/>
      <c r="D96" s="171"/>
      <c r="E96" s="18"/>
      <c r="F96" s="3"/>
      <c r="G96" s="3"/>
      <c r="H96" s="3"/>
      <c r="I96" s="3"/>
      <c r="J96" s="3"/>
      <c r="K96" s="3"/>
      <c r="L96" s="3"/>
      <c r="M96" s="4"/>
    </row>
    <row r="97" spans="1:13" ht="27.75" customHeight="1" x14ac:dyDescent="0.2">
      <c r="A97" s="25" t="s">
        <v>25</v>
      </c>
      <c r="B97" s="172">
        <v>0.16789999999999999</v>
      </c>
      <c r="C97" s="173"/>
      <c r="D97" s="174"/>
      <c r="E97" s="17"/>
      <c r="F97" s="3"/>
      <c r="G97" s="5"/>
      <c r="H97" s="3"/>
      <c r="I97" s="3"/>
      <c r="J97" s="3"/>
      <c r="K97" s="3"/>
      <c r="L97" s="3"/>
      <c r="M97" s="4"/>
    </row>
    <row r="98" spans="1:13" ht="43.5" customHeight="1" x14ac:dyDescent="0.2">
      <c r="A98" s="58" t="s">
        <v>26</v>
      </c>
      <c r="B98" s="160" t="s">
        <v>86</v>
      </c>
      <c r="C98" s="168"/>
      <c r="D98" s="161"/>
      <c r="E98" s="18"/>
      <c r="F98" s="3"/>
      <c r="G98" s="3"/>
      <c r="H98" s="3"/>
      <c r="I98" s="3"/>
      <c r="J98" s="3"/>
      <c r="K98" s="3"/>
      <c r="L98" s="3"/>
      <c r="M98" s="4"/>
    </row>
    <row r="99" spans="1:13" ht="67.5" customHeight="1" x14ac:dyDescent="0.2">
      <c r="A99" s="58" t="s">
        <v>27</v>
      </c>
      <c r="B99" s="160" t="s">
        <v>87</v>
      </c>
      <c r="C99" s="168"/>
      <c r="D99" s="168"/>
      <c r="E99" s="161"/>
      <c r="F99" s="3"/>
      <c r="G99" s="3"/>
      <c r="H99" s="3"/>
      <c r="I99" s="3"/>
      <c r="J99" s="3"/>
      <c r="K99" s="3"/>
      <c r="L99" s="3"/>
      <c r="M99" s="4"/>
    </row>
    <row r="100" spans="1:13" ht="12.75" customHeight="1" x14ac:dyDescent="0.2">
      <c r="A100" s="162" t="s">
        <v>90</v>
      </c>
      <c r="B100" s="180"/>
      <c r="C100" s="180"/>
      <c r="D100" s="180"/>
      <c r="E100" s="163"/>
      <c r="F100" s="3"/>
      <c r="G100" s="3"/>
      <c r="H100" s="3"/>
      <c r="I100" s="3"/>
      <c r="J100" s="3"/>
      <c r="K100" s="3"/>
      <c r="L100" s="3"/>
      <c r="M100" s="4"/>
    </row>
    <row r="101" spans="1:13" ht="25.5" x14ac:dyDescent="0.2">
      <c r="A101" s="24" t="s">
        <v>22</v>
      </c>
      <c r="B101" s="152" t="s">
        <v>80</v>
      </c>
      <c r="C101" s="167"/>
      <c r="D101" s="153"/>
      <c r="E101" s="58" t="s">
        <v>81</v>
      </c>
      <c r="F101" s="3"/>
      <c r="G101" s="3"/>
      <c r="H101" s="3"/>
      <c r="I101" s="3"/>
      <c r="J101" s="3"/>
      <c r="K101" s="3"/>
      <c r="L101" s="3"/>
      <c r="M101" s="4"/>
    </row>
    <row r="102" spans="1:13" ht="42.75" customHeight="1" x14ac:dyDescent="0.2">
      <c r="A102" s="24" t="s">
        <v>23</v>
      </c>
      <c r="B102" s="160" t="s">
        <v>54</v>
      </c>
      <c r="C102" s="168"/>
      <c r="D102" s="161"/>
      <c r="E102" s="18"/>
      <c r="F102" s="3"/>
      <c r="G102" s="3"/>
      <c r="H102" s="3"/>
      <c r="I102" s="3"/>
      <c r="J102" s="3"/>
      <c r="K102" s="3"/>
      <c r="L102" s="3"/>
      <c r="M102" s="4"/>
    </row>
    <row r="103" spans="1:13" ht="18" customHeight="1" x14ac:dyDescent="0.2">
      <c r="A103" s="24" t="s">
        <v>24</v>
      </c>
      <c r="B103" s="169">
        <v>1034700</v>
      </c>
      <c r="C103" s="170"/>
      <c r="D103" s="171"/>
      <c r="E103" s="18"/>
      <c r="F103" s="4"/>
      <c r="G103" s="4"/>
      <c r="H103" s="4"/>
      <c r="I103" s="4"/>
      <c r="J103" s="4"/>
      <c r="K103" s="4"/>
      <c r="L103" s="4"/>
      <c r="M103" s="4"/>
    </row>
    <row r="104" spans="1:13" ht="19.5" customHeight="1" x14ac:dyDescent="0.2">
      <c r="A104" s="58" t="s">
        <v>25</v>
      </c>
      <c r="B104" s="172">
        <v>0.31169999999999998</v>
      </c>
      <c r="C104" s="173"/>
      <c r="D104" s="174"/>
      <c r="E104" s="18"/>
      <c r="F104" s="4"/>
      <c r="G104" s="4"/>
      <c r="H104" s="4"/>
      <c r="I104" s="4"/>
      <c r="J104" s="4"/>
      <c r="K104" s="4"/>
      <c r="L104" s="4"/>
      <c r="M104" s="4"/>
    </row>
    <row r="105" spans="1:13" ht="376.5" customHeight="1" x14ac:dyDescent="0.2">
      <c r="A105" s="25" t="s">
        <v>26</v>
      </c>
      <c r="B105" s="193" t="s">
        <v>95</v>
      </c>
      <c r="C105" s="194"/>
      <c r="D105" s="194"/>
      <c r="E105" s="195"/>
      <c r="F105" s="4"/>
      <c r="G105" s="4"/>
      <c r="H105" s="4"/>
      <c r="I105" s="4"/>
      <c r="J105" s="4"/>
      <c r="K105" s="4"/>
      <c r="L105" s="4"/>
      <c r="M105" s="4"/>
    </row>
    <row r="106" spans="1:13" ht="153.75" customHeight="1" x14ac:dyDescent="0.2">
      <c r="A106" s="58" t="s">
        <v>27</v>
      </c>
      <c r="B106" s="160" t="s">
        <v>53</v>
      </c>
      <c r="C106" s="168"/>
      <c r="D106" s="161"/>
      <c r="E106" s="18"/>
      <c r="F106" s="4"/>
      <c r="G106" s="4"/>
      <c r="H106" s="4"/>
      <c r="I106" s="4"/>
      <c r="J106" s="4"/>
      <c r="K106" s="4"/>
      <c r="L106" s="4"/>
      <c r="M106" s="4"/>
    </row>
    <row r="107" spans="1:13" ht="30.75" customHeight="1" x14ac:dyDescent="0.2">
      <c r="A107" s="162" t="s">
        <v>57</v>
      </c>
      <c r="B107" s="180"/>
      <c r="C107" s="180"/>
      <c r="D107" s="180"/>
      <c r="E107" s="163"/>
      <c r="F107" s="4"/>
      <c r="G107" s="4"/>
      <c r="H107" s="4"/>
      <c r="I107" s="4"/>
      <c r="J107" s="4"/>
      <c r="K107" s="4"/>
      <c r="L107" s="4"/>
      <c r="M107" s="4"/>
    </row>
    <row r="108" spans="1:13" ht="41.25" customHeight="1" x14ac:dyDescent="0.2">
      <c r="A108" s="24" t="s">
        <v>22</v>
      </c>
      <c r="B108" s="152" t="s">
        <v>82</v>
      </c>
      <c r="C108" s="167"/>
      <c r="D108" s="153"/>
      <c r="E108" s="17"/>
      <c r="F108" s="4"/>
      <c r="G108" s="4"/>
      <c r="H108" s="4"/>
      <c r="I108" s="4"/>
      <c r="J108" s="4"/>
      <c r="K108" s="4"/>
      <c r="L108" s="4"/>
      <c r="M108" s="4"/>
    </row>
    <row r="109" spans="1:13" ht="37.5" customHeight="1" x14ac:dyDescent="0.2">
      <c r="A109" s="24" t="s">
        <v>23</v>
      </c>
      <c r="B109" s="160" t="s">
        <v>54</v>
      </c>
      <c r="C109" s="168"/>
      <c r="D109" s="161"/>
      <c r="E109" s="18"/>
      <c r="F109" s="4"/>
      <c r="G109" s="4"/>
      <c r="H109" s="4"/>
      <c r="I109" s="4"/>
      <c r="J109" s="4"/>
      <c r="K109" s="4"/>
      <c r="L109" s="4"/>
      <c r="M109" s="4"/>
    </row>
    <row r="110" spans="1:13" ht="12.75" customHeight="1" x14ac:dyDescent="0.2">
      <c r="A110" s="24" t="s">
        <v>24</v>
      </c>
      <c r="B110" s="169">
        <v>847390</v>
      </c>
      <c r="C110" s="170"/>
      <c r="D110" s="171"/>
      <c r="E110" s="18"/>
      <c r="F110" s="4"/>
      <c r="G110" s="4"/>
      <c r="H110" s="4"/>
      <c r="I110" s="4"/>
      <c r="J110" s="4"/>
      <c r="K110" s="4"/>
      <c r="L110" s="4"/>
      <c r="M110" s="4"/>
    </row>
    <row r="111" spans="1:13" ht="37.5" hidden="1" customHeight="1" x14ac:dyDescent="0.2">
      <c r="A111" s="53" t="s">
        <v>25</v>
      </c>
      <c r="B111" s="181">
        <v>4.2299999999999997E-2</v>
      </c>
      <c r="C111" s="182"/>
      <c r="D111" s="183"/>
      <c r="E111" s="60"/>
      <c r="F111" s="4"/>
      <c r="G111" s="4"/>
      <c r="H111" s="4"/>
      <c r="I111" s="4"/>
      <c r="J111" s="4"/>
      <c r="K111" s="4"/>
      <c r="L111" s="4"/>
      <c r="M111" s="4"/>
    </row>
    <row r="112" spans="1:13" ht="141" customHeight="1" x14ac:dyDescent="0.2">
      <c r="A112" s="58" t="s">
        <v>26</v>
      </c>
      <c r="B112" s="160" t="s">
        <v>83</v>
      </c>
      <c r="C112" s="168"/>
      <c r="D112" s="168"/>
      <c r="E112" s="161"/>
      <c r="F112" s="4"/>
      <c r="G112" s="4"/>
      <c r="H112" s="4"/>
      <c r="I112" s="4"/>
      <c r="J112" s="4"/>
      <c r="K112" s="4"/>
      <c r="L112" s="4"/>
      <c r="M112" s="4"/>
    </row>
    <row r="113" spans="1:13" ht="98.25" customHeight="1" x14ac:dyDescent="0.2">
      <c r="A113" s="58" t="s">
        <v>27</v>
      </c>
      <c r="B113" s="160" t="s">
        <v>91</v>
      </c>
      <c r="C113" s="168"/>
      <c r="D113" s="161"/>
      <c r="E113" s="59"/>
      <c r="F113" s="4"/>
      <c r="G113" s="4"/>
      <c r="H113" s="4"/>
      <c r="I113" s="4"/>
      <c r="J113" s="4"/>
      <c r="K113" s="4"/>
      <c r="L113" s="4"/>
      <c r="M113" s="4"/>
    </row>
    <row r="114" spans="1:13" x14ac:dyDescent="0.2">
      <c r="A114" s="175" t="s">
        <v>28</v>
      </c>
      <c r="B114" s="176"/>
      <c r="C114" s="176"/>
      <c r="D114" s="177"/>
      <c r="E114" s="19"/>
      <c r="F114" s="4"/>
      <c r="G114" s="4"/>
      <c r="H114" s="4"/>
      <c r="I114" s="4"/>
      <c r="J114" s="4"/>
      <c r="K114" s="4"/>
      <c r="L114" s="4"/>
      <c r="M114" s="4"/>
    </row>
    <row r="115" spans="1:13" ht="25.5" x14ac:dyDescent="0.2">
      <c r="A115" s="40" t="s">
        <v>29</v>
      </c>
      <c r="B115" s="30" t="s">
        <v>30</v>
      </c>
      <c r="C115" s="178" t="s">
        <v>31</v>
      </c>
      <c r="D115" s="179"/>
      <c r="E115" s="20"/>
      <c r="F115" s="4"/>
      <c r="G115" s="4"/>
      <c r="H115" s="4"/>
      <c r="I115" s="4"/>
      <c r="J115" s="4"/>
      <c r="K115" s="4"/>
      <c r="L115" s="4"/>
      <c r="M115" s="4"/>
    </row>
    <row r="116" spans="1:13" x14ac:dyDescent="0.2">
      <c r="A116" s="41" t="s">
        <v>32</v>
      </c>
      <c r="B116" s="41">
        <v>0</v>
      </c>
      <c r="C116" s="164">
        <v>0</v>
      </c>
      <c r="D116" s="165"/>
      <c r="E116" s="20"/>
      <c r="F116" s="4"/>
      <c r="G116" s="4"/>
      <c r="H116" s="4"/>
      <c r="I116" s="4"/>
      <c r="J116" s="4"/>
      <c r="K116" s="4"/>
      <c r="L116" s="4"/>
      <c r="M116" s="4"/>
    </row>
    <row r="117" spans="1:13" x14ac:dyDescent="0.2">
      <c r="A117" s="41" t="s">
        <v>33</v>
      </c>
      <c r="B117" s="41">
        <v>25</v>
      </c>
      <c r="C117" s="164">
        <v>24</v>
      </c>
      <c r="D117" s="165"/>
      <c r="E117" s="20"/>
      <c r="F117" s="4"/>
      <c r="G117" s="4"/>
      <c r="H117" s="4"/>
      <c r="I117" s="4"/>
      <c r="J117" s="4"/>
      <c r="K117" s="4"/>
      <c r="L117" s="4"/>
      <c r="M117" s="4"/>
    </row>
    <row r="118" spans="1:13" x14ac:dyDescent="0.2">
      <c r="A118" s="41" t="s">
        <v>34</v>
      </c>
      <c r="B118" s="41">
        <v>1</v>
      </c>
      <c r="C118" s="164">
        <v>1</v>
      </c>
      <c r="D118" s="165"/>
      <c r="E118" s="20"/>
    </row>
    <row r="119" spans="1:13" x14ac:dyDescent="0.2">
      <c r="A119" s="21"/>
      <c r="B119" s="21"/>
      <c r="C119" s="22"/>
      <c r="D119" s="22"/>
      <c r="E119" s="21"/>
    </row>
    <row r="120" spans="1:13" x14ac:dyDescent="0.2">
      <c r="A120" s="21"/>
      <c r="B120" s="21"/>
      <c r="C120" s="22"/>
      <c r="D120" s="22"/>
      <c r="E120" s="21"/>
    </row>
    <row r="121" spans="1:13" x14ac:dyDescent="0.2">
      <c r="A121" s="21"/>
      <c r="B121" s="21"/>
      <c r="C121" s="22"/>
      <c r="D121" s="22"/>
      <c r="E121" s="21"/>
    </row>
    <row r="122" spans="1:13" x14ac:dyDescent="0.2">
      <c r="A122" s="166" t="s">
        <v>35</v>
      </c>
      <c r="B122" s="166"/>
      <c r="C122" s="166"/>
      <c r="D122" s="166"/>
      <c r="E122" s="166"/>
    </row>
    <row r="123" spans="1:13" x14ac:dyDescent="0.2">
      <c r="A123" s="166"/>
      <c r="B123" s="166"/>
      <c r="C123" s="166"/>
      <c r="D123" s="166"/>
      <c r="E123" s="166"/>
    </row>
  </sheetData>
  <mergeCells count="98">
    <mergeCell ref="A68:B68"/>
    <mergeCell ref="E68:E73"/>
    <mergeCell ref="A69:B69"/>
    <mergeCell ref="A70:B70"/>
    <mergeCell ref="A71:B71"/>
    <mergeCell ref="A72:B72"/>
    <mergeCell ref="A73:B73"/>
    <mergeCell ref="B112:E112"/>
    <mergeCell ref="B105:E105"/>
    <mergeCell ref="B113:D113"/>
    <mergeCell ref="A78:B78"/>
    <mergeCell ref="E26:E31"/>
    <mergeCell ref="A34:B34"/>
    <mergeCell ref="A35:B35"/>
    <mergeCell ref="A93:E93"/>
    <mergeCell ref="A81:B81"/>
    <mergeCell ref="A64:B64"/>
    <mergeCell ref="E62:E64"/>
    <mergeCell ref="A77:B77"/>
    <mergeCell ref="A79:B79"/>
    <mergeCell ref="A80:B80"/>
    <mergeCell ref="A60:B60"/>
    <mergeCell ref="A61:B61"/>
    <mergeCell ref="A100:E100"/>
    <mergeCell ref="B94:D94"/>
    <mergeCell ref="B95:D95"/>
    <mergeCell ref="B96:D96"/>
    <mergeCell ref="B97:D97"/>
    <mergeCell ref="B98:D98"/>
    <mergeCell ref="B99:E99"/>
    <mergeCell ref="E1:E2"/>
    <mergeCell ref="A47:B47"/>
    <mergeCell ref="A49:B49"/>
    <mergeCell ref="E52:E56"/>
    <mergeCell ref="A58:B58"/>
    <mergeCell ref="A45:B45"/>
    <mergeCell ref="A57:B57"/>
    <mergeCell ref="A46:B46"/>
    <mergeCell ref="A50:B50"/>
    <mergeCell ref="A3:E3"/>
    <mergeCell ref="A4:B4"/>
    <mergeCell ref="A20:B20"/>
    <mergeCell ref="A36:B36"/>
    <mergeCell ref="A40:B40"/>
    <mergeCell ref="A85:B85"/>
    <mergeCell ref="A5:B5"/>
    <mergeCell ref="A6:B6"/>
    <mergeCell ref="A8:B8"/>
    <mergeCell ref="A22:B22"/>
    <mergeCell ref="A23:B23"/>
    <mergeCell ref="A7:B7"/>
    <mergeCell ref="A38:B38"/>
    <mergeCell ref="A39:B39"/>
    <mergeCell ref="A41:B41"/>
    <mergeCell ref="A42:B42"/>
    <mergeCell ref="A62:B62"/>
    <mergeCell ref="A83:B83"/>
    <mergeCell ref="A84:B84"/>
    <mergeCell ref="A66:B66"/>
    <mergeCell ref="A67:B67"/>
    <mergeCell ref="C118:D118"/>
    <mergeCell ref="A122:E123"/>
    <mergeCell ref="B101:D101"/>
    <mergeCell ref="B102:D102"/>
    <mergeCell ref="B103:D103"/>
    <mergeCell ref="B104:D104"/>
    <mergeCell ref="B106:D106"/>
    <mergeCell ref="A114:D114"/>
    <mergeCell ref="C115:D115"/>
    <mergeCell ref="C116:D116"/>
    <mergeCell ref="C117:D117"/>
    <mergeCell ref="A107:E107"/>
    <mergeCell ref="B108:D108"/>
    <mergeCell ref="B109:D109"/>
    <mergeCell ref="B110:D110"/>
    <mergeCell ref="B111:D111"/>
    <mergeCell ref="A90:B90"/>
    <mergeCell ref="C90:D90"/>
    <mergeCell ref="A91:B91"/>
    <mergeCell ref="C91:D91"/>
    <mergeCell ref="A92:B92"/>
    <mergeCell ref="C92:D92"/>
    <mergeCell ref="A88:B88"/>
    <mergeCell ref="A89:B89"/>
    <mergeCell ref="C89:D89"/>
    <mergeCell ref="A19:B19"/>
    <mergeCell ref="A9:B9"/>
    <mergeCell ref="A10:B10"/>
    <mergeCell ref="A11:B11"/>
    <mergeCell ref="A12:B12"/>
    <mergeCell ref="A86:B86"/>
    <mergeCell ref="A24:B24"/>
    <mergeCell ref="A25:B25"/>
    <mergeCell ref="A32:B32"/>
    <mergeCell ref="A75:B75"/>
    <mergeCell ref="A76:B76"/>
    <mergeCell ref="A63:B63"/>
    <mergeCell ref="A43:B43"/>
  </mergeCells>
  <pageMargins left="0.75" right="0.75" top="1" bottom="1" header="0.5" footer="0.5"/>
  <pageSetup paperSize="9" scale="79" fitToHeight="0"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C96AC-4B45-487F-BE95-0A87D38D19B5}">
  <sheetPr>
    <pageSetUpPr fitToPage="1"/>
  </sheetPr>
  <dimension ref="A1:J38"/>
  <sheetViews>
    <sheetView workbookViewId="0"/>
  </sheetViews>
  <sheetFormatPr defaultRowHeight="15" x14ac:dyDescent="0.25"/>
  <cols>
    <col min="1" max="1" width="6.5703125" style="61" customWidth="1"/>
    <col min="2" max="2" width="7.85546875" style="61" customWidth="1"/>
    <col min="3" max="3" width="6.85546875" style="61" customWidth="1"/>
    <col min="4" max="4" width="49.42578125" style="61" customWidth="1"/>
    <col min="5" max="5" width="13.42578125" style="61" customWidth="1"/>
    <col min="6" max="6" width="14.42578125" style="61" customWidth="1"/>
    <col min="7" max="7" width="11.85546875" style="61" customWidth="1"/>
    <col min="8" max="8" width="14" style="61" customWidth="1"/>
    <col min="9" max="9" width="13.28515625" style="61" customWidth="1"/>
    <col min="10" max="10" width="11.42578125" style="61" bestFit="1" customWidth="1"/>
    <col min="11" max="256" width="9.140625" style="61"/>
    <col min="257" max="257" width="6.5703125" style="61" customWidth="1"/>
    <col min="258" max="258" width="7.85546875" style="61" customWidth="1"/>
    <col min="259" max="259" width="6.85546875" style="61" customWidth="1"/>
    <col min="260" max="260" width="49.42578125" style="61" customWidth="1"/>
    <col min="261" max="261" width="13.42578125" style="61" customWidth="1"/>
    <col min="262" max="262" width="14.42578125" style="61" customWidth="1"/>
    <col min="263" max="263" width="11.85546875" style="61" customWidth="1"/>
    <col min="264" max="264" width="14" style="61" customWidth="1"/>
    <col min="265" max="265" width="13.28515625" style="61" customWidth="1"/>
    <col min="266" max="266" width="11.42578125" style="61" bestFit="1" customWidth="1"/>
    <col min="267" max="512" width="9.140625" style="61"/>
    <col min="513" max="513" width="6.5703125" style="61" customWidth="1"/>
    <col min="514" max="514" width="7.85546875" style="61" customWidth="1"/>
    <col min="515" max="515" width="6.85546875" style="61" customWidth="1"/>
    <col min="516" max="516" width="49.42578125" style="61" customWidth="1"/>
    <col min="517" max="517" width="13.42578125" style="61" customWidth="1"/>
    <col min="518" max="518" width="14.42578125" style="61" customWidth="1"/>
    <col min="519" max="519" width="11.85546875" style="61" customWidth="1"/>
    <col min="520" max="520" width="14" style="61" customWidth="1"/>
    <col min="521" max="521" width="13.28515625" style="61" customWidth="1"/>
    <col min="522" max="522" width="11.42578125" style="61" bestFit="1" customWidth="1"/>
    <col min="523" max="768" width="9.140625" style="61"/>
    <col min="769" max="769" width="6.5703125" style="61" customWidth="1"/>
    <col min="770" max="770" width="7.85546875" style="61" customWidth="1"/>
    <col min="771" max="771" width="6.85546875" style="61" customWidth="1"/>
    <col min="772" max="772" width="49.42578125" style="61" customWidth="1"/>
    <col min="773" max="773" width="13.42578125" style="61" customWidth="1"/>
    <col min="774" max="774" width="14.42578125" style="61" customWidth="1"/>
    <col min="775" max="775" width="11.85546875" style="61" customWidth="1"/>
    <col min="776" max="776" width="14" style="61" customWidth="1"/>
    <col min="777" max="777" width="13.28515625" style="61" customWidth="1"/>
    <col min="778" max="778" width="11.42578125" style="61" bestFit="1" customWidth="1"/>
    <col min="779" max="1024" width="9.140625" style="61"/>
    <col min="1025" max="1025" width="6.5703125" style="61" customWidth="1"/>
    <col min="1026" max="1026" width="7.85546875" style="61" customWidth="1"/>
    <col min="1027" max="1027" width="6.85546875" style="61" customWidth="1"/>
    <col min="1028" max="1028" width="49.42578125" style="61" customWidth="1"/>
    <col min="1029" max="1029" width="13.42578125" style="61" customWidth="1"/>
    <col min="1030" max="1030" width="14.42578125" style="61" customWidth="1"/>
    <col min="1031" max="1031" width="11.85546875" style="61" customWidth="1"/>
    <col min="1032" max="1032" width="14" style="61" customWidth="1"/>
    <col min="1033" max="1033" width="13.28515625" style="61" customWidth="1"/>
    <col min="1034" max="1034" width="11.42578125" style="61" bestFit="1" customWidth="1"/>
    <col min="1035" max="1280" width="9.140625" style="61"/>
    <col min="1281" max="1281" width="6.5703125" style="61" customWidth="1"/>
    <col min="1282" max="1282" width="7.85546875" style="61" customWidth="1"/>
    <col min="1283" max="1283" width="6.85546875" style="61" customWidth="1"/>
    <col min="1284" max="1284" width="49.42578125" style="61" customWidth="1"/>
    <col min="1285" max="1285" width="13.42578125" style="61" customWidth="1"/>
    <col min="1286" max="1286" width="14.42578125" style="61" customWidth="1"/>
    <col min="1287" max="1287" width="11.85546875" style="61" customWidth="1"/>
    <col min="1288" max="1288" width="14" style="61" customWidth="1"/>
    <col min="1289" max="1289" width="13.28515625" style="61" customWidth="1"/>
    <col min="1290" max="1290" width="11.42578125" style="61" bestFit="1" customWidth="1"/>
    <col min="1291" max="1536" width="9.140625" style="61"/>
    <col min="1537" max="1537" width="6.5703125" style="61" customWidth="1"/>
    <col min="1538" max="1538" width="7.85546875" style="61" customWidth="1"/>
    <col min="1539" max="1539" width="6.85546875" style="61" customWidth="1"/>
    <col min="1540" max="1540" width="49.42578125" style="61" customWidth="1"/>
    <col min="1541" max="1541" width="13.42578125" style="61" customWidth="1"/>
    <col min="1542" max="1542" width="14.42578125" style="61" customWidth="1"/>
    <col min="1543" max="1543" width="11.85546875" style="61" customWidth="1"/>
    <col min="1544" max="1544" width="14" style="61" customWidth="1"/>
    <col min="1545" max="1545" width="13.28515625" style="61" customWidth="1"/>
    <col min="1546" max="1546" width="11.42578125" style="61" bestFit="1" customWidth="1"/>
    <col min="1547" max="1792" width="9.140625" style="61"/>
    <col min="1793" max="1793" width="6.5703125" style="61" customWidth="1"/>
    <col min="1794" max="1794" width="7.85546875" style="61" customWidth="1"/>
    <col min="1795" max="1795" width="6.85546875" style="61" customWidth="1"/>
    <col min="1796" max="1796" width="49.42578125" style="61" customWidth="1"/>
    <col min="1797" max="1797" width="13.42578125" style="61" customWidth="1"/>
    <col min="1798" max="1798" width="14.42578125" style="61" customWidth="1"/>
    <col min="1799" max="1799" width="11.85546875" style="61" customWidth="1"/>
    <col min="1800" max="1800" width="14" style="61" customWidth="1"/>
    <col min="1801" max="1801" width="13.28515625" style="61" customWidth="1"/>
    <col min="1802" max="1802" width="11.42578125" style="61" bestFit="1" customWidth="1"/>
    <col min="1803" max="2048" width="9.140625" style="61"/>
    <col min="2049" max="2049" width="6.5703125" style="61" customWidth="1"/>
    <col min="2050" max="2050" width="7.85546875" style="61" customWidth="1"/>
    <col min="2051" max="2051" width="6.85546875" style="61" customWidth="1"/>
    <col min="2052" max="2052" width="49.42578125" style="61" customWidth="1"/>
    <col min="2053" max="2053" width="13.42578125" style="61" customWidth="1"/>
    <col min="2054" max="2054" width="14.42578125" style="61" customWidth="1"/>
    <col min="2055" max="2055" width="11.85546875" style="61" customWidth="1"/>
    <col min="2056" max="2056" width="14" style="61" customWidth="1"/>
    <col min="2057" max="2057" width="13.28515625" style="61" customWidth="1"/>
    <col min="2058" max="2058" width="11.42578125" style="61" bestFit="1" customWidth="1"/>
    <col min="2059" max="2304" width="9.140625" style="61"/>
    <col min="2305" max="2305" width="6.5703125" style="61" customWidth="1"/>
    <col min="2306" max="2306" width="7.85546875" style="61" customWidth="1"/>
    <col min="2307" max="2307" width="6.85546875" style="61" customWidth="1"/>
    <col min="2308" max="2308" width="49.42578125" style="61" customWidth="1"/>
    <col min="2309" max="2309" width="13.42578125" style="61" customWidth="1"/>
    <col min="2310" max="2310" width="14.42578125" style="61" customWidth="1"/>
    <col min="2311" max="2311" width="11.85546875" style="61" customWidth="1"/>
    <col min="2312" max="2312" width="14" style="61" customWidth="1"/>
    <col min="2313" max="2313" width="13.28515625" style="61" customWidth="1"/>
    <col min="2314" max="2314" width="11.42578125" style="61" bestFit="1" customWidth="1"/>
    <col min="2315" max="2560" width="9.140625" style="61"/>
    <col min="2561" max="2561" width="6.5703125" style="61" customWidth="1"/>
    <col min="2562" max="2562" width="7.85546875" style="61" customWidth="1"/>
    <col min="2563" max="2563" width="6.85546875" style="61" customWidth="1"/>
    <col min="2564" max="2564" width="49.42578125" style="61" customWidth="1"/>
    <col min="2565" max="2565" width="13.42578125" style="61" customWidth="1"/>
    <col min="2566" max="2566" width="14.42578125" style="61" customWidth="1"/>
    <col min="2567" max="2567" width="11.85546875" style="61" customWidth="1"/>
    <col min="2568" max="2568" width="14" style="61" customWidth="1"/>
    <col min="2569" max="2569" width="13.28515625" style="61" customWidth="1"/>
    <col min="2570" max="2570" width="11.42578125" style="61" bestFit="1" customWidth="1"/>
    <col min="2571" max="2816" width="9.140625" style="61"/>
    <col min="2817" max="2817" width="6.5703125" style="61" customWidth="1"/>
    <col min="2818" max="2818" width="7.85546875" style="61" customWidth="1"/>
    <col min="2819" max="2819" width="6.85546875" style="61" customWidth="1"/>
    <col min="2820" max="2820" width="49.42578125" style="61" customWidth="1"/>
    <col min="2821" max="2821" width="13.42578125" style="61" customWidth="1"/>
    <col min="2822" max="2822" width="14.42578125" style="61" customWidth="1"/>
    <col min="2823" max="2823" width="11.85546875" style="61" customWidth="1"/>
    <col min="2824" max="2824" width="14" style="61" customWidth="1"/>
    <col min="2825" max="2825" width="13.28515625" style="61" customWidth="1"/>
    <col min="2826" max="2826" width="11.42578125" style="61" bestFit="1" customWidth="1"/>
    <col min="2827" max="3072" width="9.140625" style="61"/>
    <col min="3073" max="3073" width="6.5703125" style="61" customWidth="1"/>
    <col min="3074" max="3074" width="7.85546875" style="61" customWidth="1"/>
    <col min="3075" max="3075" width="6.85546875" style="61" customWidth="1"/>
    <col min="3076" max="3076" width="49.42578125" style="61" customWidth="1"/>
    <col min="3077" max="3077" width="13.42578125" style="61" customWidth="1"/>
    <col min="3078" max="3078" width="14.42578125" style="61" customWidth="1"/>
    <col min="3079" max="3079" width="11.85546875" style="61" customWidth="1"/>
    <col min="3080" max="3080" width="14" style="61" customWidth="1"/>
    <col min="3081" max="3081" width="13.28515625" style="61" customWidth="1"/>
    <col min="3082" max="3082" width="11.42578125" style="61" bestFit="1" customWidth="1"/>
    <col min="3083" max="3328" width="9.140625" style="61"/>
    <col min="3329" max="3329" width="6.5703125" style="61" customWidth="1"/>
    <col min="3330" max="3330" width="7.85546875" style="61" customWidth="1"/>
    <col min="3331" max="3331" width="6.85546875" style="61" customWidth="1"/>
    <col min="3332" max="3332" width="49.42578125" style="61" customWidth="1"/>
    <col min="3333" max="3333" width="13.42578125" style="61" customWidth="1"/>
    <col min="3334" max="3334" width="14.42578125" style="61" customWidth="1"/>
    <col min="3335" max="3335" width="11.85546875" style="61" customWidth="1"/>
    <col min="3336" max="3336" width="14" style="61" customWidth="1"/>
    <col min="3337" max="3337" width="13.28515625" style="61" customWidth="1"/>
    <col min="3338" max="3338" width="11.42578125" style="61" bestFit="1" customWidth="1"/>
    <col min="3339" max="3584" width="9.140625" style="61"/>
    <col min="3585" max="3585" width="6.5703125" style="61" customWidth="1"/>
    <col min="3586" max="3586" width="7.85546875" style="61" customWidth="1"/>
    <col min="3587" max="3587" width="6.85546875" style="61" customWidth="1"/>
    <col min="3588" max="3588" width="49.42578125" style="61" customWidth="1"/>
    <col min="3589" max="3589" width="13.42578125" style="61" customWidth="1"/>
    <col min="3590" max="3590" width="14.42578125" style="61" customWidth="1"/>
    <col min="3591" max="3591" width="11.85546875" style="61" customWidth="1"/>
    <col min="3592" max="3592" width="14" style="61" customWidth="1"/>
    <col min="3593" max="3593" width="13.28515625" style="61" customWidth="1"/>
    <col min="3594" max="3594" width="11.42578125" style="61" bestFit="1" customWidth="1"/>
    <col min="3595" max="3840" width="9.140625" style="61"/>
    <col min="3841" max="3841" width="6.5703125" style="61" customWidth="1"/>
    <col min="3842" max="3842" width="7.85546875" style="61" customWidth="1"/>
    <col min="3843" max="3843" width="6.85546875" style="61" customWidth="1"/>
    <col min="3844" max="3844" width="49.42578125" style="61" customWidth="1"/>
    <col min="3845" max="3845" width="13.42578125" style="61" customWidth="1"/>
    <col min="3846" max="3846" width="14.42578125" style="61" customWidth="1"/>
    <col min="3847" max="3847" width="11.85546875" style="61" customWidth="1"/>
    <col min="3848" max="3848" width="14" style="61" customWidth="1"/>
    <col min="3849" max="3849" width="13.28515625" style="61" customWidth="1"/>
    <col min="3850" max="3850" width="11.42578125" style="61" bestFit="1" customWidth="1"/>
    <col min="3851" max="4096" width="9.140625" style="61"/>
    <col min="4097" max="4097" width="6.5703125" style="61" customWidth="1"/>
    <col min="4098" max="4098" width="7.85546875" style="61" customWidth="1"/>
    <col min="4099" max="4099" width="6.85546875" style="61" customWidth="1"/>
    <col min="4100" max="4100" width="49.42578125" style="61" customWidth="1"/>
    <col min="4101" max="4101" width="13.42578125" style="61" customWidth="1"/>
    <col min="4102" max="4102" width="14.42578125" style="61" customWidth="1"/>
    <col min="4103" max="4103" width="11.85546875" style="61" customWidth="1"/>
    <col min="4104" max="4104" width="14" style="61" customWidth="1"/>
    <col min="4105" max="4105" width="13.28515625" style="61" customWidth="1"/>
    <col min="4106" max="4106" width="11.42578125" style="61" bestFit="1" customWidth="1"/>
    <col min="4107" max="4352" width="9.140625" style="61"/>
    <col min="4353" max="4353" width="6.5703125" style="61" customWidth="1"/>
    <col min="4354" max="4354" width="7.85546875" style="61" customWidth="1"/>
    <col min="4355" max="4355" width="6.85546875" style="61" customWidth="1"/>
    <col min="4356" max="4356" width="49.42578125" style="61" customWidth="1"/>
    <col min="4357" max="4357" width="13.42578125" style="61" customWidth="1"/>
    <col min="4358" max="4358" width="14.42578125" style="61" customWidth="1"/>
    <col min="4359" max="4359" width="11.85546875" style="61" customWidth="1"/>
    <col min="4360" max="4360" width="14" style="61" customWidth="1"/>
    <col min="4361" max="4361" width="13.28515625" style="61" customWidth="1"/>
    <col min="4362" max="4362" width="11.42578125" style="61" bestFit="1" customWidth="1"/>
    <col min="4363" max="4608" width="9.140625" style="61"/>
    <col min="4609" max="4609" width="6.5703125" style="61" customWidth="1"/>
    <col min="4610" max="4610" width="7.85546875" style="61" customWidth="1"/>
    <col min="4611" max="4611" width="6.85546875" style="61" customWidth="1"/>
    <col min="4612" max="4612" width="49.42578125" style="61" customWidth="1"/>
    <col min="4613" max="4613" width="13.42578125" style="61" customWidth="1"/>
    <col min="4614" max="4614" width="14.42578125" style="61" customWidth="1"/>
    <col min="4615" max="4615" width="11.85546875" style="61" customWidth="1"/>
    <col min="4616" max="4616" width="14" style="61" customWidth="1"/>
    <col min="4617" max="4617" width="13.28515625" style="61" customWidth="1"/>
    <col min="4618" max="4618" width="11.42578125" style="61" bestFit="1" customWidth="1"/>
    <col min="4619" max="4864" width="9.140625" style="61"/>
    <col min="4865" max="4865" width="6.5703125" style="61" customWidth="1"/>
    <col min="4866" max="4866" width="7.85546875" style="61" customWidth="1"/>
    <col min="4867" max="4867" width="6.85546875" style="61" customWidth="1"/>
    <col min="4868" max="4868" width="49.42578125" style="61" customWidth="1"/>
    <col min="4869" max="4869" width="13.42578125" style="61" customWidth="1"/>
    <col min="4870" max="4870" width="14.42578125" style="61" customWidth="1"/>
    <col min="4871" max="4871" width="11.85546875" style="61" customWidth="1"/>
    <col min="4872" max="4872" width="14" style="61" customWidth="1"/>
    <col min="4873" max="4873" width="13.28515625" style="61" customWidth="1"/>
    <col min="4874" max="4874" width="11.42578125" style="61" bestFit="1" customWidth="1"/>
    <col min="4875" max="5120" width="9.140625" style="61"/>
    <col min="5121" max="5121" width="6.5703125" style="61" customWidth="1"/>
    <col min="5122" max="5122" width="7.85546875" style="61" customWidth="1"/>
    <col min="5123" max="5123" width="6.85546875" style="61" customWidth="1"/>
    <col min="5124" max="5124" width="49.42578125" style="61" customWidth="1"/>
    <col min="5125" max="5125" width="13.42578125" style="61" customWidth="1"/>
    <col min="5126" max="5126" width="14.42578125" style="61" customWidth="1"/>
    <col min="5127" max="5127" width="11.85546875" style="61" customWidth="1"/>
    <col min="5128" max="5128" width="14" style="61" customWidth="1"/>
    <col min="5129" max="5129" width="13.28515625" style="61" customWidth="1"/>
    <col min="5130" max="5130" width="11.42578125" style="61" bestFit="1" customWidth="1"/>
    <col min="5131" max="5376" width="9.140625" style="61"/>
    <col min="5377" max="5377" width="6.5703125" style="61" customWidth="1"/>
    <col min="5378" max="5378" width="7.85546875" style="61" customWidth="1"/>
    <col min="5379" max="5379" width="6.85546875" style="61" customWidth="1"/>
    <col min="5380" max="5380" width="49.42578125" style="61" customWidth="1"/>
    <col min="5381" max="5381" width="13.42578125" style="61" customWidth="1"/>
    <col min="5382" max="5382" width="14.42578125" style="61" customWidth="1"/>
    <col min="5383" max="5383" width="11.85546875" style="61" customWidth="1"/>
    <col min="5384" max="5384" width="14" style="61" customWidth="1"/>
    <col min="5385" max="5385" width="13.28515625" style="61" customWidth="1"/>
    <col min="5386" max="5386" width="11.42578125" style="61" bestFit="1" customWidth="1"/>
    <col min="5387" max="5632" width="9.140625" style="61"/>
    <col min="5633" max="5633" width="6.5703125" style="61" customWidth="1"/>
    <col min="5634" max="5634" width="7.85546875" style="61" customWidth="1"/>
    <col min="5635" max="5635" width="6.85546875" style="61" customWidth="1"/>
    <col min="5636" max="5636" width="49.42578125" style="61" customWidth="1"/>
    <col min="5637" max="5637" width="13.42578125" style="61" customWidth="1"/>
    <col min="5638" max="5638" width="14.42578125" style="61" customWidth="1"/>
    <col min="5639" max="5639" width="11.85546875" style="61" customWidth="1"/>
    <col min="5640" max="5640" width="14" style="61" customWidth="1"/>
    <col min="5641" max="5641" width="13.28515625" style="61" customWidth="1"/>
    <col min="5642" max="5642" width="11.42578125" style="61" bestFit="1" customWidth="1"/>
    <col min="5643" max="5888" width="9.140625" style="61"/>
    <col min="5889" max="5889" width="6.5703125" style="61" customWidth="1"/>
    <col min="5890" max="5890" width="7.85546875" style="61" customWidth="1"/>
    <col min="5891" max="5891" width="6.85546875" style="61" customWidth="1"/>
    <col min="5892" max="5892" width="49.42578125" style="61" customWidth="1"/>
    <col min="5893" max="5893" width="13.42578125" style="61" customWidth="1"/>
    <col min="5894" max="5894" width="14.42578125" style="61" customWidth="1"/>
    <col min="5895" max="5895" width="11.85546875" style="61" customWidth="1"/>
    <col min="5896" max="5896" width="14" style="61" customWidth="1"/>
    <col min="5897" max="5897" width="13.28515625" style="61" customWidth="1"/>
    <col min="5898" max="5898" width="11.42578125" style="61" bestFit="1" customWidth="1"/>
    <col min="5899" max="6144" width="9.140625" style="61"/>
    <col min="6145" max="6145" width="6.5703125" style="61" customWidth="1"/>
    <col min="6146" max="6146" width="7.85546875" style="61" customWidth="1"/>
    <col min="6147" max="6147" width="6.85546875" style="61" customWidth="1"/>
    <col min="6148" max="6148" width="49.42578125" style="61" customWidth="1"/>
    <col min="6149" max="6149" width="13.42578125" style="61" customWidth="1"/>
    <col min="6150" max="6150" width="14.42578125" style="61" customWidth="1"/>
    <col min="6151" max="6151" width="11.85546875" style="61" customWidth="1"/>
    <col min="6152" max="6152" width="14" style="61" customWidth="1"/>
    <col min="6153" max="6153" width="13.28515625" style="61" customWidth="1"/>
    <col min="6154" max="6154" width="11.42578125" style="61" bestFit="1" customWidth="1"/>
    <col min="6155" max="6400" width="9.140625" style="61"/>
    <col min="6401" max="6401" width="6.5703125" style="61" customWidth="1"/>
    <col min="6402" max="6402" width="7.85546875" style="61" customWidth="1"/>
    <col min="6403" max="6403" width="6.85546875" style="61" customWidth="1"/>
    <col min="6404" max="6404" width="49.42578125" style="61" customWidth="1"/>
    <col min="6405" max="6405" width="13.42578125" style="61" customWidth="1"/>
    <col min="6406" max="6406" width="14.42578125" style="61" customWidth="1"/>
    <col min="6407" max="6407" width="11.85546875" style="61" customWidth="1"/>
    <col min="6408" max="6408" width="14" style="61" customWidth="1"/>
    <col min="6409" max="6409" width="13.28515625" style="61" customWidth="1"/>
    <col min="6410" max="6410" width="11.42578125" style="61" bestFit="1" customWidth="1"/>
    <col min="6411" max="6656" width="9.140625" style="61"/>
    <col min="6657" max="6657" width="6.5703125" style="61" customWidth="1"/>
    <col min="6658" max="6658" width="7.85546875" style="61" customWidth="1"/>
    <col min="6659" max="6659" width="6.85546875" style="61" customWidth="1"/>
    <col min="6660" max="6660" width="49.42578125" style="61" customWidth="1"/>
    <col min="6661" max="6661" width="13.42578125" style="61" customWidth="1"/>
    <col min="6662" max="6662" width="14.42578125" style="61" customWidth="1"/>
    <col min="6663" max="6663" width="11.85546875" style="61" customWidth="1"/>
    <col min="6664" max="6664" width="14" style="61" customWidth="1"/>
    <col min="6665" max="6665" width="13.28515625" style="61" customWidth="1"/>
    <col min="6666" max="6666" width="11.42578125" style="61" bestFit="1" customWidth="1"/>
    <col min="6667" max="6912" width="9.140625" style="61"/>
    <col min="6913" max="6913" width="6.5703125" style="61" customWidth="1"/>
    <col min="6914" max="6914" width="7.85546875" style="61" customWidth="1"/>
    <col min="6915" max="6915" width="6.85546875" style="61" customWidth="1"/>
    <col min="6916" max="6916" width="49.42578125" style="61" customWidth="1"/>
    <col min="6917" max="6917" width="13.42578125" style="61" customWidth="1"/>
    <col min="6918" max="6918" width="14.42578125" style="61" customWidth="1"/>
    <col min="6919" max="6919" width="11.85546875" style="61" customWidth="1"/>
    <col min="6920" max="6920" width="14" style="61" customWidth="1"/>
    <col min="6921" max="6921" width="13.28515625" style="61" customWidth="1"/>
    <col min="6922" max="6922" width="11.42578125" style="61" bestFit="1" customWidth="1"/>
    <col min="6923" max="7168" width="9.140625" style="61"/>
    <col min="7169" max="7169" width="6.5703125" style="61" customWidth="1"/>
    <col min="7170" max="7170" width="7.85546875" style="61" customWidth="1"/>
    <col min="7171" max="7171" width="6.85546875" style="61" customWidth="1"/>
    <col min="7172" max="7172" width="49.42578125" style="61" customWidth="1"/>
    <col min="7173" max="7173" width="13.42578125" style="61" customWidth="1"/>
    <col min="7174" max="7174" width="14.42578125" style="61" customWidth="1"/>
    <col min="7175" max="7175" width="11.85546875" style="61" customWidth="1"/>
    <col min="7176" max="7176" width="14" style="61" customWidth="1"/>
    <col min="7177" max="7177" width="13.28515625" style="61" customWidth="1"/>
    <col min="7178" max="7178" width="11.42578125" style="61" bestFit="1" customWidth="1"/>
    <col min="7179" max="7424" width="9.140625" style="61"/>
    <col min="7425" max="7425" width="6.5703125" style="61" customWidth="1"/>
    <col min="7426" max="7426" width="7.85546875" style="61" customWidth="1"/>
    <col min="7427" max="7427" width="6.85546875" style="61" customWidth="1"/>
    <col min="7428" max="7428" width="49.42578125" style="61" customWidth="1"/>
    <col min="7429" max="7429" width="13.42578125" style="61" customWidth="1"/>
    <col min="7430" max="7430" width="14.42578125" style="61" customWidth="1"/>
    <col min="7431" max="7431" width="11.85546875" style="61" customWidth="1"/>
    <col min="7432" max="7432" width="14" style="61" customWidth="1"/>
    <col min="7433" max="7433" width="13.28515625" style="61" customWidth="1"/>
    <col min="7434" max="7434" width="11.42578125" style="61" bestFit="1" customWidth="1"/>
    <col min="7435" max="7680" width="9.140625" style="61"/>
    <col min="7681" max="7681" width="6.5703125" style="61" customWidth="1"/>
    <col min="7682" max="7682" width="7.85546875" style="61" customWidth="1"/>
    <col min="7683" max="7683" width="6.85546875" style="61" customWidth="1"/>
    <col min="7684" max="7684" width="49.42578125" style="61" customWidth="1"/>
    <col min="7685" max="7685" width="13.42578125" style="61" customWidth="1"/>
    <col min="7686" max="7686" width="14.42578125" style="61" customWidth="1"/>
    <col min="7687" max="7687" width="11.85546875" style="61" customWidth="1"/>
    <col min="7688" max="7688" width="14" style="61" customWidth="1"/>
    <col min="7689" max="7689" width="13.28515625" style="61" customWidth="1"/>
    <col min="7690" max="7690" width="11.42578125" style="61" bestFit="1" customWidth="1"/>
    <col min="7691" max="7936" width="9.140625" style="61"/>
    <col min="7937" max="7937" width="6.5703125" style="61" customWidth="1"/>
    <col min="7938" max="7938" width="7.85546875" style="61" customWidth="1"/>
    <col min="7939" max="7939" width="6.85546875" style="61" customWidth="1"/>
    <col min="7940" max="7940" width="49.42578125" style="61" customWidth="1"/>
    <col min="7941" max="7941" width="13.42578125" style="61" customWidth="1"/>
    <col min="7942" max="7942" width="14.42578125" style="61" customWidth="1"/>
    <col min="7943" max="7943" width="11.85546875" style="61" customWidth="1"/>
    <col min="7944" max="7944" width="14" style="61" customWidth="1"/>
    <col min="7945" max="7945" width="13.28515625" style="61" customWidth="1"/>
    <col min="7946" max="7946" width="11.42578125" style="61" bestFit="1" customWidth="1"/>
    <col min="7947" max="8192" width="9.140625" style="61"/>
    <col min="8193" max="8193" width="6.5703125" style="61" customWidth="1"/>
    <col min="8194" max="8194" width="7.85546875" style="61" customWidth="1"/>
    <col min="8195" max="8195" width="6.85546875" style="61" customWidth="1"/>
    <col min="8196" max="8196" width="49.42578125" style="61" customWidth="1"/>
    <col min="8197" max="8197" width="13.42578125" style="61" customWidth="1"/>
    <col min="8198" max="8198" width="14.42578125" style="61" customWidth="1"/>
    <col min="8199" max="8199" width="11.85546875" style="61" customWidth="1"/>
    <col min="8200" max="8200" width="14" style="61" customWidth="1"/>
    <col min="8201" max="8201" width="13.28515625" style="61" customWidth="1"/>
    <col min="8202" max="8202" width="11.42578125" style="61" bestFit="1" customWidth="1"/>
    <col min="8203" max="8448" width="9.140625" style="61"/>
    <col min="8449" max="8449" width="6.5703125" style="61" customWidth="1"/>
    <col min="8450" max="8450" width="7.85546875" style="61" customWidth="1"/>
    <col min="8451" max="8451" width="6.85546875" style="61" customWidth="1"/>
    <col min="8452" max="8452" width="49.42578125" style="61" customWidth="1"/>
    <col min="8453" max="8453" width="13.42578125" style="61" customWidth="1"/>
    <col min="8454" max="8454" width="14.42578125" style="61" customWidth="1"/>
    <col min="8455" max="8455" width="11.85546875" style="61" customWidth="1"/>
    <col min="8456" max="8456" width="14" style="61" customWidth="1"/>
    <col min="8457" max="8457" width="13.28515625" style="61" customWidth="1"/>
    <col min="8458" max="8458" width="11.42578125" style="61" bestFit="1" customWidth="1"/>
    <col min="8459" max="8704" width="9.140625" style="61"/>
    <col min="8705" max="8705" width="6.5703125" style="61" customWidth="1"/>
    <col min="8706" max="8706" width="7.85546875" style="61" customWidth="1"/>
    <col min="8707" max="8707" width="6.85546875" style="61" customWidth="1"/>
    <col min="8708" max="8708" width="49.42578125" style="61" customWidth="1"/>
    <col min="8709" max="8709" width="13.42578125" style="61" customWidth="1"/>
    <col min="8710" max="8710" width="14.42578125" style="61" customWidth="1"/>
    <col min="8711" max="8711" width="11.85546875" style="61" customWidth="1"/>
    <col min="8712" max="8712" width="14" style="61" customWidth="1"/>
    <col min="8713" max="8713" width="13.28515625" style="61" customWidth="1"/>
    <col min="8714" max="8714" width="11.42578125" style="61" bestFit="1" customWidth="1"/>
    <col min="8715" max="8960" width="9.140625" style="61"/>
    <col min="8961" max="8961" width="6.5703125" style="61" customWidth="1"/>
    <col min="8962" max="8962" width="7.85546875" style="61" customWidth="1"/>
    <col min="8963" max="8963" width="6.85546875" style="61" customWidth="1"/>
    <col min="8964" max="8964" width="49.42578125" style="61" customWidth="1"/>
    <col min="8965" max="8965" width="13.42578125" style="61" customWidth="1"/>
    <col min="8966" max="8966" width="14.42578125" style="61" customWidth="1"/>
    <col min="8967" max="8967" width="11.85546875" style="61" customWidth="1"/>
    <col min="8968" max="8968" width="14" style="61" customWidth="1"/>
    <col min="8969" max="8969" width="13.28515625" style="61" customWidth="1"/>
    <col min="8970" max="8970" width="11.42578125" style="61" bestFit="1" customWidth="1"/>
    <col min="8971" max="9216" width="9.140625" style="61"/>
    <col min="9217" max="9217" width="6.5703125" style="61" customWidth="1"/>
    <col min="9218" max="9218" width="7.85546875" style="61" customWidth="1"/>
    <col min="9219" max="9219" width="6.85546875" style="61" customWidth="1"/>
    <col min="9220" max="9220" width="49.42578125" style="61" customWidth="1"/>
    <col min="9221" max="9221" width="13.42578125" style="61" customWidth="1"/>
    <col min="9222" max="9222" width="14.42578125" style="61" customWidth="1"/>
    <col min="9223" max="9223" width="11.85546875" style="61" customWidth="1"/>
    <col min="9224" max="9224" width="14" style="61" customWidth="1"/>
    <col min="9225" max="9225" width="13.28515625" style="61" customWidth="1"/>
    <col min="9226" max="9226" width="11.42578125" style="61" bestFit="1" customWidth="1"/>
    <col min="9227" max="9472" width="9.140625" style="61"/>
    <col min="9473" max="9473" width="6.5703125" style="61" customWidth="1"/>
    <col min="9474" max="9474" width="7.85546875" style="61" customWidth="1"/>
    <col min="9475" max="9475" width="6.85546875" style="61" customWidth="1"/>
    <col min="9476" max="9476" width="49.42578125" style="61" customWidth="1"/>
    <col min="9477" max="9477" width="13.42578125" style="61" customWidth="1"/>
    <col min="9478" max="9478" width="14.42578125" style="61" customWidth="1"/>
    <col min="9479" max="9479" width="11.85546875" style="61" customWidth="1"/>
    <col min="9480" max="9480" width="14" style="61" customWidth="1"/>
    <col min="9481" max="9481" width="13.28515625" style="61" customWidth="1"/>
    <col min="9482" max="9482" width="11.42578125" style="61" bestFit="1" customWidth="1"/>
    <col min="9483" max="9728" width="9.140625" style="61"/>
    <col min="9729" max="9729" width="6.5703125" style="61" customWidth="1"/>
    <col min="9730" max="9730" width="7.85546875" style="61" customWidth="1"/>
    <col min="9731" max="9731" width="6.85546875" style="61" customWidth="1"/>
    <col min="9732" max="9732" width="49.42578125" style="61" customWidth="1"/>
    <col min="9733" max="9733" width="13.42578125" style="61" customWidth="1"/>
    <col min="9734" max="9734" width="14.42578125" style="61" customWidth="1"/>
    <col min="9735" max="9735" width="11.85546875" style="61" customWidth="1"/>
    <col min="9736" max="9736" width="14" style="61" customWidth="1"/>
    <col min="9737" max="9737" width="13.28515625" style="61" customWidth="1"/>
    <col min="9738" max="9738" width="11.42578125" style="61" bestFit="1" customWidth="1"/>
    <col min="9739" max="9984" width="9.140625" style="61"/>
    <col min="9985" max="9985" width="6.5703125" style="61" customWidth="1"/>
    <col min="9986" max="9986" width="7.85546875" style="61" customWidth="1"/>
    <col min="9987" max="9987" width="6.85546875" style="61" customWidth="1"/>
    <col min="9988" max="9988" width="49.42578125" style="61" customWidth="1"/>
    <col min="9989" max="9989" width="13.42578125" style="61" customWidth="1"/>
    <col min="9990" max="9990" width="14.42578125" style="61" customWidth="1"/>
    <col min="9991" max="9991" width="11.85546875" style="61" customWidth="1"/>
    <col min="9992" max="9992" width="14" style="61" customWidth="1"/>
    <col min="9993" max="9993" width="13.28515625" style="61" customWidth="1"/>
    <col min="9994" max="9994" width="11.42578125" style="61" bestFit="1" customWidth="1"/>
    <col min="9995" max="10240" width="9.140625" style="61"/>
    <col min="10241" max="10241" width="6.5703125" style="61" customWidth="1"/>
    <col min="10242" max="10242" width="7.85546875" style="61" customWidth="1"/>
    <col min="10243" max="10243" width="6.85546875" style="61" customWidth="1"/>
    <col min="10244" max="10244" width="49.42578125" style="61" customWidth="1"/>
    <col min="10245" max="10245" width="13.42578125" style="61" customWidth="1"/>
    <col min="10246" max="10246" width="14.42578125" style="61" customWidth="1"/>
    <col min="10247" max="10247" width="11.85546875" style="61" customWidth="1"/>
    <col min="10248" max="10248" width="14" style="61" customWidth="1"/>
    <col min="10249" max="10249" width="13.28515625" style="61" customWidth="1"/>
    <col min="10250" max="10250" width="11.42578125" style="61" bestFit="1" customWidth="1"/>
    <col min="10251" max="10496" width="9.140625" style="61"/>
    <col min="10497" max="10497" width="6.5703125" style="61" customWidth="1"/>
    <col min="10498" max="10498" width="7.85546875" style="61" customWidth="1"/>
    <col min="10499" max="10499" width="6.85546875" style="61" customWidth="1"/>
    <col min="10500" max="10500" width="49.42578125" style="61" customWidth="1"/>
    <col min="10501" max="10501" width="13.42578125" style="61" customWidth="1"/>
    <col min="10502" max="10502" width="14.42578125" style="61" customWidth="1"/>
    <col min="10503" max="10503" width="11.85546875" style="61" customWidth="1"/>
    <col min="10504" max="10504" width="14" style="61" customWidth="1"/>
    <col min="10505" max="10505" width="13.28515625" style="61" customWidth="1"/>
    <col min="10506" max="10506" width="11.42578125" style="61" bestFit="1" customWidth="1"/>
    <col min="10507" max="10752" width="9.140625" style="61"/>
    <col min="10753" max="10753" width="6.5703125" style="61" customWidth="1"/>
    <col min="10754" max="10754" width="7.85546875" style="61" customWidth="1"/>
    <col min="10755" max="10755" width="6.85546875" style="61" customWidth="1"/>
    <col min="10756" max="10756" width="49.42578125" style="61" customWidth="1"/>
    <col min="10757" max="10757" width="13.42578125" style="61" customWidth="1"/>
    <col min="10758" max="10758" width="14.42578125" style="61" customWidth="1"/>
    <col min="10759" max="10759" width="11.85546875" style="61" customWidth="1"/>
    <col min="10760" max="10760" width="14" style="61" customWidth="1"/>
    <col min="10761" max="10761" width="13.28515625" style="61" customWidth="1"/>
    <col min="10762" max="10762" width="11.42578125" style="61" bestFit="1" customWidth="1"/>
    <col min="10763" max="11008" width="9.140625" style="61"/>
    <col min="11009" max="11009" width="6.5703125" style="61" customWidth="1"/>
    <col min="11010" max="11010" width="7.85546875" style="61" customWidth="1"/>
    <col min="11011" max="11011" width="6.85546875" style="61" customWidth="1"/>
    <col min="11012" max="11012" width="49.42578125" style="61" customWidth="1"/>
    <col min="11013" max="11013" width="13.42578125" style="61" customWidth="1"/>
    <col min="11014" max="11014" width="14.42578125" style="61" customWidth="1"/>
    <col min="11015" max="11015" width="11.85546875" style="61" customWidth="1"/>
    <col min="11016" max="11016" width="14" style="61" customWidth="1"/>
    <col min="11017" max="11017" width="13.28515625" style="61" customWidth="1"/>
    <col min="11018" max="11018" width="11.42578125" style="61" bestFit="1" customWidth="1"/>
    <col min="11019" max="11264" width="9.140625" style="61"/>
    <col min="11265" max="11265" width="6.5703125" style="61" customWidth="1"/>
    <col min="11266" max="11266" width="7.85546875" style="61" customWidth="1"/>
    <col min="11267" max="11267" width="6.85546875" style="61" customWidth="1"/>
    <col min="11268" max="11268" width="49.42578125" style="61" customWidth="1"/>
    <col min="11269" max="11269" width="13.42578125" style="61" customWidth="1"/>
    <col min="11270" max="11270" width="14.42578125" style="61" customWidth="1"/>
    <col min="11271" max="11271" width="11.85546875" style="61" customWidth="1"/>
    <col min="11272" max="11272" width="14" style="61" customWidth="1"/>
    <col min="11273" max="11273" width="13.28515625" style="61" customWidth="1"/>
    <col min="11274" max="11274" width="11.42578125" style="61" bestFit="1" customWidth="1"/>
    <col min="11275" max="11520" width="9.140625" style="61"/>
    <col min="11521" max="11521" width="6.5703125" style="61" customWidth="1"/>
    <col min="11522" max="11522" width="7.85546875" style="61" customWidth="1"/>
    <col min="11523" max="11523" width="6.85546875" style="61" customWidth="1"/>
    <col min="11524" max="11524" width="49.42578125" style="61" customWidth="1"/>
    <col min="11525" max="11525" width="13.42578125" style="61" customWidth="1"/>
    <col min="11526" max="11526" width="14.42578125" style="61" customWidth="1"/>
    <col min="11527" max="11527" width="11.85546875" style="61" customWidth="1"/>
    <col min="11528" max="11528" width="14" style="61" customWidth="1"/>
    <col min="11529" max="11529" width="13.28515625" style="61" customWidth="1"/>
    <col min="11530" max="11530" width="11.42578125" style="61" bestFit="1" customWidth="1"/>
    <col min="11531" max="11776" width="9.140625" style="61"/>
    <col min="11777" max="11777" width="6.5703125" style="61" customWidth="1"/>
    <col min="11778" max="11778" width="7.85546875" style="61" customWidth="1"/>
    <col min="11779" max="11779" width="6.85546875" style="61" customWidth="1"/>
    <col min="11780" max="11780" width="49.42578125" style="61" customWidth="1"/>
    <col min="11781" max="11781" width="13.42578125" style="61" customWidth="1"/>
    <col min="11782" max="11782" width="14.42578125" style="61" customWidth="1"/>
    <col min="11783" max="11783" width="11.85546875" style="61" customWidth="1"/>
    <col min="11784" max="11784" width="14" style="61" customWidth="1"/>
    <col min="11785" max="11785" width="13.28515625" style="61" customWidth="1"/>
    <col min="11786" max="11786" width="11.42578125" style="61" bestFit="1" customWidth="1"/>
    <col min="11787" max="12032" width="9.140625" style="61"/>
    <col min="12033" max="12033" width="6.5703125" style="61" customWidth="1"/>
    <col min="12034" max="12034" width="7.85546875" style="61" customWidth="1"/>
    <col min="12035" max="12035" width="6.85546875" style="61" customWidth="1"/>
    <col min="12036" max="12036" width="49.42578125" style="61" customWidth="1"/>
    <col min="12037" max="12037" width="13.42578125" style="61" customWidth="1"/>
    <col min="12038" max="12038" width="14.42578125" style="61" customWidth="1"/>
    <col min="12039" max="12039" width="11.85546875" style="61" customWidth="1"/>
    <col min="12040" max="12040" width="14" style="61" customWidth="1"/>
    <col min="12041" max="12041" width="13.28515625" style="61" customWidth="1"/>
    <col min="12042" max="12042" width="11.42578125" style="61" bestFit="1" customWidth="1"/>
    <col min="12043" max="12288" width="9.140625" style="61"/>
    <col min="12289" max="12289" width="6.5703125" style="61" customWidth="1"/>
    <col min="12290" max="12290" width="7.85546875" style="61" customWidth="1"/>
    <col min="12291" max="12291" width="6.85546875" style="61" customWidth="1"/>
    <col min="12292" max="12292" width="49.42578125" style="61" customWidth="1"/>
    <col min="12293" max="12293" width="13.42578125" style="61" customWidth="1"/>
    <col min="12294" max="12294" width="14.42578125" style="61" customWidth="1"/>
    <col min="12295" max="12295" width="11.85546875" style="61" customWidth="1"/>
    <col min="12296" max="12296" width="14" style="61" customWidth="1"/>
    <col min="12297" max="12297" width="13.28515625" style="61" customWidth="1"/>
    <col min="12298" max="12298" width="11.42578125" style="61" bestFit="1" customWidth="1"/>
    <col min="12299" max="12544" width="9.140625" style="61"/>
    <col min="12545" max="12545" width="6.5703125" style="61" customWidth="1"/>
    <col min="12546" max="12546" width="7.85546875" style="61" customWidth="1"/>
    <col min="12547" max="12547" width="6.85546875" style="61" customWidth="1"/>
    <col min="12548" max="12548" width="49.42578125" style="61" customWidth="1"/>
    <col min="12549" max="12549" width="13.42578125" style="61" customWidth="1"/>
    <col min="12550" max="12550" width="14.42578125" style="61" customWidth="1"/>
    <col min="12551" max="12551" width="11.85546875" style="61" customWidth="1"/>
    <col min="12552" max="12552" width="14" style="61" customWidth="1"/>
    <col min="12553" max="12553" width="13.28515625" style="61" customWidth="1"/>
    <col min="12554" max="12554" width="11.42578125" style="61" bestFit="1" customWidth="1"/>
    <col min="12555" max="12800" width="9.140625" style="61"/>
    <col min="12801" max="12801" width="6.5703125" style="61" customWidth="1"/>
    <col min="12802" max="12802" width="7.85546875" style="61" customWidth="1"/>
    <col min="12803" max="12803" width="6.85546875" style="61" customWidth="1"/>
    <col min="12804" max="12804" width="49.42578125" style="61" customWidth="1"/>
    <col min="12805" max="12805" width="13.42578125" style="61" customWidth="1"/>
    <col min="12806" max="12806" width="14.42578125" style="61" customWidth="1"/>
    <col min="12807" max="12807" width="11.85546875" style="61" customWidth="1"/>
    <col min="12808" max="12808" width="14" style="61" customWidth="1"/>
    <col min="12809" max="12809" width="13.28515625" style="61" customWidth="1"/>
    <col min="12810" max="12810" width="11.42578125" style="61" bestFit="1" customWidth="1"/>
    <col min="12811" max="13056" width="9.140625" style="61"/>
    <col min="13057" max="13057" width="6.5703125" style="61" customWidth="1"/>
    <col min="13058" max="13058" width="7.85546875" style="61" customWidth="1"/>
    <col min="13059" max="13059" width="6.85546875" style="61" customWidth="1"/>
    <col min="13060" max="13060" width="49.42578125" style="61" customWidth="1"/>
    <col min="13061" max="13061" width="13.42578125" style="61" customWidth="1"/>
    <col min="13062" max="13062" width="14.42578125" style="61" customWidth="1"/>
    <col min="13063" max="13063" width="11.85546875" style="61" customWidth="1"/>
    <col min="13064" max="13064" width="14" style="61" customWidth="1"/>
    <col min="13065" max="13065" width="13.28515625" style="61" customWidth="1"/>
    <col min="13066" max="13066" width="11.42578125" style="61" bestFit="1" customWidth="1"/>
    <col min="13067" max="13312" width="9.140625" style="61"/>
    <col min="13313" max="13313" width="6.5703125" style="61" customWidth="1"/>
    <col min="13314" max="13314" width="7.85546875" style="61" customWidth="1"/>
    <col min="13315" max="13315" width="6.85546875" style="61" customWidth="1"/>
    <col min="13316" max="13316" width="49.42578125" style="61" customWidth="1"/>
    <col min="13317" max="13317" width="13.42578125" style="61" customWidth="1"/>
    <col min="13318" max="13318" width="14.42578125" style="61" customWidth="1"/>
    <col min="13319" max="13319" width="11.85546875" style="61" customWidth="1"/>
    <col min="13320" max="13320" width="14" style="61" customWidth="1"/>
    <col min="13321" max="13321" width="13.28515625" style="61" customWidth="1"/>
    <col min="13322" max="13322" width="11.42578125" style="61" bestFit="1" customWidth="1"/>
    <col min="13323" max="13568" width="9.140625" style="61"/>
    <col min="13569" max="13569" width="6.5703125" style="61" customWidth="1"/>
    <col min="13570" max="13570" width="7.85546875" style="61" customWidth="1"/>
    <col min="13571" max="13571" width="6.85546875" style="61" customWidth="1"/>
    <col min="13572" max="13572" width="49.42578125" style="61" customWidth="1"/>
    <col min="13573" max="13573" width="13.42578125" style="61" customWidth="1"/>
    <col min="13574" max="13574" width="14.42578125" style="61" customWidth="1"/>
    <col min="13575" max="13575" width="11.85546875" style="61" customWidth="1"/>
    <col min="13576" max="13576" width="14" style="61" customWidth="1"/>
    <col min="13577" max="13577" width="13.28515625" style="61" customWidth="1"/>
    <col min="13578" max="13578" width="11.42578125" style="61" bestFit="1" customWidth="1"/>
    <col min="13579" max="13824" width="9.140625" style="61"/>
    <col min="13825" max="13825" width="6.5703125" style="61" customWidth="1"/>
    <col min="13826" max="13826" width="7.85546875" style="61" customWidth="1"/>
    <col min="13827" max="13827" width="6.85546875" style="61" customWidth="1"/>
    <col min="13828" max="13828" width="49.42578125" style="61" customWidth="1"/>
    <col min="13829" max="13829" width="13.42578125" style="61" customWidth="1"/>
    <col min="13830" max="13830" width="14.42578125" style="61" customWidth="1"/>
    <col min="13831" max="13831" width="11.85546875" style="61" customWidth="1"/>
    <col min="13832" max="13832" width="14" style="61" customWidth="1"/>
    <col min="13833" max="13833" width="13.28515625" style="61" customWidth="1"/>
    <col min="13834" max="13834" width="11.42578125" style="61" bestFit="1" customWidth="1"/>
    <col min="13835" max="14080" width="9.140625" style="61"/>
    <col min="14081" max="14081" width="6.5703125" style="61" customWidth="1"/>
    <col min="14082" max="14082" width="7.85546875" style="61" customWidth="1"/>
    <col min="14083" max="14083" width="6.85546875" style="61" customWidth="1"/>
    <col min="14084" max="14084" width="49.42578125" style="61" customWidth="1"/>
    <col min="14085" max="14085" width="13.42578125" style="61" customWidth="1"/>
    <col min="14086" max="14086" width="14.42578125" style="61" customWidth="1"/>
    <col min="14087" max="14087" width="11.85546875" style="61" customWidth="1"/>
    <col min="14088" max="14088" width="14" style="61" customWidth="1"/>
    <col min="14089" max="14089" width="13.28515625" style="61" customWidth="1"/>
    <col min="14090" max="14090" width="11.42578125" style="61" bestFit="1" customWidth="1"/>
    <col min="14091" max="14336" width="9.140625" style="61"/>
    <col min="14337" max="14337" width="6.5703125" style="61" customWidth="1"/>
    <col min="14338" max="14338" width="7.85546875" style="61" customWidth="1"/>
    <col min="14339" max="14339" width="6.85546875" style="61" customWidth="1"/>
    <col min="14340" max="14340" width="49.42578125" style="61" customWidth="1"/>
    <col min="14341" max="14341" width="13.42578125" style="61" customWidth="1"/>
    <col min="14342" max="14342" width="14.42578125" style="61" customWidth="1"/>
    <col min="14343" max="14343" width="11.85546875" style="61" customWidth="1"/>
    <col min="14344" max="14344" width="14" style="61" customWidth="1"/>
    <col min="14345" max="14345" width="13.28515625" style="61" customWidth="1"/>
    <col min="14346" max="14346" width="11.42578125" style="61" bestFit="1" customWidth="1"/>
    <col min="14347" max="14592" width="9.140625" style="61"/>
    <col min="14593" max="14593" width="6.5703125" style="61" customWidth="1"/>
    <col min="14594" max="14594" width="7.85546875" style="61" customWidth="1"/>
    <col min="14595" max="14595" width="6.85546875" style="61" customWidth="1"/>
    <col min="14596" max="14596" width="49.42578125" style="61" customWidth="1"/>
    <col min="14597" max="14597" width="13.42578125" style="61" customWidth="1"/>
    <col min="14598" max="14598" width="14.42578125" style="61" customWidth="1"/>
    <col min="14599" max="14599" width="11.85546875" style="61" customWidth="1"/>
    <col min="14600" max="14600" width="14" style="61" customWidth="1"/>
    <col min="14601" max="14601" width="13.28515625" style="61" customWidth="1"/>
    <col min="14602" max="14602" width="11.42578125" style="61" bestFit="1" customWidth="1"/>
    <col min="14603" max="14848" width="9.140625" style="61"/>
    <col min="14849" max="14849" width="6.5703125" style="61" customWidth="1"/>
    <col min="14850" max="14850" width="7.85546875" style="61" customWidth="1"/>
    <col min="14851" max="14851" width="6.85546875" style="61" customWidth="1"/>
    <col min="14852" max="14852" width="49.42578125" style="61" customWidth="1"/>
    <col min="14853" max="14853" width="13.42578125" style="61" customWidth="1"/>
    <col min="14854" max="14854" width="14.42578125" style="61" customWidth="1"/>
    <col min="14855" max="14855" width="11.85546875" style="61" customWidth="1"/>
    <col min="14856" max="14856" width="14" style="61" customWidth="1"/>
    <col min="14857" max="14857" width="13.28515625" style="61" customWidth="1"/>
    <col min="14858" max="14858" width="11.42578125" style="61" bestFit="1" customWidth="1"/>
    <col min="14859" max="15104" width="9.140625" style="61"/>
    <col min="15105" max="15105" width="6.5703125" style="61" customWidth="1"/>
    <col min="15106" max="15106" width="7.85546875" style="61" customWidth="1"/>
    <col min="15107" max="15107" width="6.85546875" style="61" customWidth="1"/>
    <col min="15108" max="15108" width="49.42578125" style="61" customWidth="1"/>
    <col min="15109" max="15109" width="13.42578125" style="61" customWidth="1"/>
    <col min="15110" max="15110" width="14.42578125" style="61" customWidth="1"/>
    <col min="15111" max="15111" width="11.85546875" style="61" customWidth="1"/>
    <col min="15112" max="15112" width="14" style="61" customWidth="1"/>
    <col min="15113" max="15113" width="13.28515625" style="61" customWidth="1"/>
    <col min="15114" max="15114" width="11.42578125" style="61" bestFit="1" customWidth="1"/>
    <col min="15115" max="15360" width="9.140625" style="61"/>
    <col min="15361" max="15361" width="6.5703125" style="61" customWidth="1"/>
    <col min="15362" max="15362" width="7.85546875" style="61" customWidth="1"/>
    <col min="15363" max="15363" width="6.85546875" style="61" customWidth="1"/>
    <col min="15364" max="15364" width="49.42578125" style="61" customWidth="1"/>
    <col min="15365" max="15365" width="13.42578125" style="61" customWidth="1"/>
    <col min="15366" max="15366" width="14.42578125" style="61" customWidth="1"/>
    <col min="15367" max="15367" width="11.85546875" style="61" customWidth="1"/>
    <col min="15368" max="15368" width="14" style="61" customWidth="1"/>
    <col min="15369" max="15369" width="13.28515625" style="61" customWidth="1"/>
    <col min="15370" max="15370" width="11.42578125" style="61" bestFit="1" customWidth="1"/>
    <col min="15371" max="15616" width="9.140625" style="61"/>
    <col min="15617" max="15617" width="6.5703125" style="61" customWidth="1"/>
    <col min="15618" max="15618" width="7.85546875" style="61" customWidth="1"/>
    <col min="15619" max="15619" width="6.85546875" style="61" customWidth="1"/>
    <col min="15620" max="15620" width="49.42578125" style="61" customWidth="1"/>
    <col min="15621" max="15621" width="13.42578125" style="61" customWidth="1"/>
    <col min="15622" max="15622" width="14.42578125" style="61" customWidth="1"/>
    <col min="15623" max="15623" width="11.85546875" style="61" customWidth="1"/>
    <col min="15624" max="15624" width="14" style="61" customWidth="1"/>
    <col min="15625" max="15625" width="13.28515625" style="61" customWidth="1"/>
    <col min="15626" max="15626" width="11.42578125" style="61" bestFit="1" customWidth="1"/>
    <col min="15627" max="15872" width="9.140625" style="61"/>
    <col min="15873" max="15873" width="6.5703125" style="61" customWidth="1"/>
    <col min="15874" max="15874" width="7.85546875" style="61" customWidth="1"/>
    <col min="15875" max="15875" width="6.85546875" style="61" customWidth="1"/>
    <col min="15876" max="15876" width="49.42578125" style="61" customWidth="1"/>
    <col min="15877" max="15877" width="13.42578125" style="61" customWidth="1"/>
    <col min="15878" max="15878" width="14.42578125" style="61" customWidth="1"/>
    <col min="15879" max="15879" width="11.85546875" style="61" customWidth="1"/>
    <col min="15880" max="15880" width="14" style="61" customWidth="1"/>
    <col min="15881" max="15881" width="13.28515625" style="61" customWidth="1"/>
    <col min="15882" max="15882" width="11.42578125" style="61" bestFit="1" customWidth="1"/>
    <col min="15883" max="16128" width="9.140625" style="61"/>
    <col min="16129" max="16129" width="6.5703125" style="61" customWidth="1"/>
    <col min="16130" max="16130" width="7.85546875" style="61" customWidth="1"/>
    <col min="16131" max="16131" width="6.85546875" style="61" customWidth="1"/>
    <col min="16132" max="16132" width="49.42578125" style="61" customWidth="1"/>
    <col min="16133" max="16133" width="13.42578125" style="61" customWidth="1"/>
    <col min="16134" max="16134" width="14.42578125" style="61" customWidth="1"/>
    <col min="16135" max="16135" width="11.85546875" style="61" customWidth="1"/>
    <col min="16136" max="16136" width="14" style="61" customWidth="1"/>
    <col min="16137" max="16137" width="13.28515625" style="61" customWidth="1"/>
    <col min="16138" max="16138" width="11.42578125" style="61" bestFit="1" customWidth="1"/>
    <col min="16139" max="16384" width="9.140625" style="61"/>
  </cols>
  <sheetData>
    <row r="1" spans="1:10" ht="55.5" customHeight="1" x14ac:dyDescent="0.25">
      <c r="G1" s="200" t="s">
        <v>96</v>
      </c>
      <c r="H1" s="200"/>
      <c r="I1" s="200"/>
    </row>
    <row r="2" spans="1:10" ht="15.75" x14ac:dyDescent="0.25">
      <c r="A2" s="201" t="s">
        <v>97</v>
      </c>
      <c r="B2" s="201"/>
      <c r="C2" s="201"/>
      <c r="D2" s="201"/>
      <c r="E2" s="201"/>
      <c r="F2" s="201"/>
      <c r="G2" s="201"/>
      <c r="H2" s="201"/>
      <c r="I2" s="201"/>
    </row>
    <row r="3" spans="1:10" x14ac:dyDescent="0.25">
      <c r="A3" s="62"/>
      <c r="B3" s="62"/>
      <c r="C3" s="63"/>
      <c r="D3" s="64"/>
      <c r="E3" s="65"/>
      <c r="F3" s="66"/>
      <c r="G3" s="66"/>
      <c r="H3" s="66"/>
      <c r="I3" s="66"/>
    </row>
    <row r="4" spans="1:10" ht="15" customHeight="1" x14ac:dyDescent="0.25">
      <c r="A4" s="202" t="s">
        <v>98</v>
      </c>
      <c r="B4" s="202" t="s">
        <v>99</v>
      </c>
      <c r="C4" s="203" t="s">
        <v>100</v>
      </c>
      <c r="D4" s="204" t="s">
        <v>101</v>
      </c>
      <c r="E4" s="205" t="s">
        <v>102</v>
      </c>
      <c r="F4" s="196" t="s">
        <v>103</v>
      </c>
      <c r="G4" s="196" t="s">
        <v>104</v>
      </c>
      <c r="H4" s="196" t="s">
        <v>105</v>
      </c>
      <c r="I4" s="196" t="s">
        <v>106</v>
      </c>
    </row>
    <row r="5" spans="1:10" ht="33.75" customHeight="1" x14ac:dyDescent="0.25">
      <c r="A5" s="202"/>
      <c r="B5" s="202"/>
      <c r="C5" s="203"/>
      <c r="D5" s="204"/>
      <c r="E5" s="206"/>
      <c r="F5" s="196"/>
      <c r="G5" s="196"/>
      <c r="H5" s="196"/>
      <c r="I5" s="196"/>
    </row>
    <row r="6" spans="1:10" x14ac:dyDescent="0.25">
      <c r="A6" s="67">
        <v>1</v>
      </c>
      <c r="B6" s="67">
        <v>2</v>
      </c>
      <c r="C6" s="68">
        <v>3</v>
      </c>
      <c r="D6" s="69">
        <v>4</v>
      </c>
      <c r="E6" s="70">
        <v>5</v>
      </c>
      <c r="F6" s="71">
        <v>6</v>
      </c>
      <c r="G6" s="71">
        <v>7</v>
      </c>
      <c r="H6" s="71">
        <v>8</v>
      </c>
      <c r="I6" s="71">
        <v>9</v>
      </c>
    </row>
    <row r="7" spans="1:10" ht="16.5" customHeight="1" x14ac:dyDescent="0.25">
      <c r="A7" s="72">
        <v>700</v>
      </c>
      <c r="B7" s="72" t="s">
        <v>107</v>
      </c>
      <c r="C7" s="73" t="s">
        <v>107</v>
      </c>
      <c r="D7" s="74" t="s">
        <v>108</v>
      </c>
      <c r="E7" s="75">
        <f>SUM(E8)</f>
        <v>0</v>
      </c>
      <c r="F7" s="75">
        <f>SUM(F8)</f>
        <v>1042.58</v>
      </c>
      <c r="G7" s="76">
        <v>0</v>
      </c>
      <c r="H7" s="75">
        <f>SUM(H8)</f>
        <v>214.81</v>
      </c>
      <c r="I7" s="75">
        <f>SUM(I8)</f>
        <v>0</v>
      </c>
    </row>
    <row r="8" spans="1:10" ht="16.5" customHeight="1" x14ac:dyDescent="0.25">
      <c r="A8" s="77">
        <v>700</v>
      </c>
      <c r="B8" s="77">
        <v>70005</v>
      </c>
      <c r="C8" s="78" t="s">
        <v>107</v>
      </c>
      <c r="D8" s="79" t="s">
        <v>109</v>
      </c>
      <c r="E8" s="80">
        <f>SUM(E9:E9)</f>
        <v>0</v>
      </c>
      <c r="F8" s="80">
        <f>SUM(F9:F9)</f>
        <v>1042.58</v>
      </c>
      <c r="G8" s="81">
        <v>0</v>
      </c>
      <c r="H8" s="80">
        <f>H9</f>
        <v>214.81</v>
      </c>
      <c r="I8" s="80">
        <f>SUM(I9:I9)</f>
        <v>0</v>
      </c>
    </row>
    <row r="9" spans="1:10" ht="55.5" customHeight="1" x14ac:dyDescent="0.25">
      <c r="A9" s="67">
        <v>700</v>
      </c>
      <c r="B9" s="67">
        <v>70005</v>
      </c>
      <c r="C9" s="68" t="s">
        <v>110</v>
      </c>
      <c r="D9" s="82" t="s">
        <v>111</v>
      </c>
      <c r="E9" s="83">
        <v>0</v>
      </c>
      <c r="F9" s="84">
        <v>1042.58</v>
      </c>
      <c r="G9" s="85">
        <v>0</v>
      </c>
      <c r="H9" s="83">
        <v>214.81</v>
      </c>
      <c r="I9" s="83">
        <v>0</v>
      </c>
    </row>
    <row r="10" spans="1:10" ht="19.5" customHeight="1" x14ac:dyDescent="0.25">
      <c r="A10" s="86">
        <v>758</v>
      </c>
      <c r="B10" s="87" t="s">
        <v>107</v>
      </c>
      <c r="C10" s="88" t="s">
        <v>107</v>
      </c>
      <c r="D10" s="89" t="s">
        <v>112</v>
      </c>
      <c r="E10" s="75">
        <f>SUM(E11)</f>
        <v>3000</v>
      </c>
      <c r="F10" s="75">
        <f>SUM(F11)</f>
        <v>2717.99</v>
      </c>
      <c r="G10" s="76">
        <f>SUM(G11)</f>
        <v>0.90599666666666656</v>
      </c>
      <c r="H10" s="75">
        <f>SUM(H11)</f>
        <v>0</v>
      </c>
      <c r="I10" s="75">
        <f>SUM(I11)</f>
        <v>0</v>
      </c>
    </row>
    <row r="11" spans="1:10" ht="25.5" customHeight="1" x14ac:dyDescent="0.25">
      <c r="A11" s="77">
        <v>758</v>
      </c>
      <c r="B11" s="77">
        <v>75814</v>
      </c>
      <c r="C11" s="78" t="s">
        <v>107</v>
      </c>
      <c r="D11" s="90" t="s">
        <v>113</v>
      </c>
      <c r="E11" s="83">
        <f>E12</f>
        <v>3000</v>
      </c>
      <c r="F11" s="83">
        <f>SUM(F12:F12)</f>
        <v>2717.99</v>
      </c>
      <c r="G11" s="91">
        <f>F11/E11</f>
        <v>0.90599666666666656</v>
      </c>
      <c r="H11" s="83">
        <v>0</v>
      </c>
      <c r="I11" s="83">
        <v>0</v>
      </c>
    </row>
    <row r="12" spans="1:10" ht="20.25" customHeight="1" x14ac:dyDescent="0.25">
      <c r="A12" s="67">
        <v>758</v>
      </c>
      <c r="B12" s="67">
        <v>75814</v>
      </c>
      <c r="C12" s="68" t="s">
        <v>114</v>
      </c>
      <c r="D12" s="82" t="s">
        <v>115</v>
      </c>
      <c r="E12" s="83">
        <v>3000</v>
      </c>
      <c r="F12" s="92">
        <v>2717.99</v>
      </c>
      <c r="G12" s="85">
        <f>F12/E12</f>
        <v>0.90599666666666656</v>
      </c>
      <c r="H12" s="92">
        <v>0</v>
      </c>
      <c r="I12" s="92">
        <v>0</v>
      </c>
    </row>
    <row r="13" spans="1:10" ht="20.25" customHeight="1" x14ac:dyDescent="0.25">
      <c r="A13" s="86">
        <v>852</v>
      </c>
      <c r="B13" s="86" t="s">
        <v>107</v>
      </c>
      <c r="C13" s="93" t="s">
        <v>107</v>
      </c>
      <c r="D13" s="89" t="s">
        <v>116</v>
      </c>
      <c r="E13" s="75">
        <f>E14+E19</f>
        <v>8312310</v>
      </c>
      <c r="F13" s="75">
        <f>F14+F19</f>
        <v>3904217.9</v>
      </c>
      <c r="G13" s="94">
        <f>F13/E13</f>
        <v>0.46969108466840143</v>
      </c>
      <c r="H13" s="75">
        <f>H14+H19</f>
        <v>4566003</v>
      </c>
      <c r="I13" s="75">
        <f>I14+I19</f>
        <v>4.74</v>
      </c>
    </row>
    <row r="14" spans="1:10" ht="24.75" customHeight="1" x14ac:dyDescent="0.25">
      <c r="A14" s="95">
        <v>852</v>
      </c>
      <c r="B14" s="95">
        <v>85202</v>
      </c>
      <c r="C14" s="96" t="s">
        <v>107</v>
      </c>
      <c r="D14" s="97" t="s">
        <v>117</v>
      </c>
      <c r="E14" s="98">
        <f>SUM(E15:E18)</f>
        <v>8312000</v>
      </c>
      <c r="F14" s="98">
        <f>SUM(F15:F18)</f>
        <v>3903807.02</v>
      </c>
      <c r="G14" s="99">
        <f>F14/E14</f>
        <v>0.46965916987487971</v>
      </c>
      <c r="H14" s="98">
        <f>SUM(H15:H18)</f>
        <v>4565998.26</v>
      </c>
      <c r="I14" s="98">
        <f>SUM(I15:I18)</f>
        <v>0</v>
      </c>
    </row>
    <row r="15" spans="1:10" ht="19.5" customHeight="1" x14ac:dyDescent="0.25">
      <c r="A15" s="100">
        <v>852</v>
      </c>
      <c r="B15" s="100">
        <v>85202</v>
      </c>
      <c r="C15" s="101" t="s">
        <v>118</v>
      </c>
      <c r="D15" s="102" t="s">
        <v>119</v>
      </c>
      <c r="E15" s="103">
        <v>985872</v>
      </c>
      <c r="F15" s="103">
        <v>442469.33</v>
      </c>
      <c r="G15" s="85">
        <f>F15/E15</f>
        <v>0.44881011936640863</v>
      </c>
      <c r="H15" s="84">
        <v>454644.02</v>
      </c>
      <c r="I15" s="84">
        <v>0</v>
      </c>
      <c r="J15" s="104"/>
    </row>
    <row r="16" spans="1:10" ht="25.5" customHeight="1" x14ac:dyDescent="0.25">
      <c r="A16" s="105">
        <v>852</v>
      </c>
      <c r="B16" s="105">
        <v>85202</v>
      </c>
      <c r="C16" s="106" t="s">
        <v>120</v>
      </c>
      <c r="D16" s="107" t="s">
        <v>121</v>
      </c>
      <c r="E16" s="84">
        <v>0</v>
      </c>
      <c r="F16" s="84">
        <v>70</v>
      </c>
      <c r="G16" s="108">
        <v>0</v>
      </c>
      <c r="H16" s="84">
        <v>0</v>
      </c>
      <c r="I16" s="84">
        <v>0</v>
      </c>
    </row>
    <row r="17" spans="1:9" ht="25.5" customHeight="1" x14ac:dyDescent="0.25">
      <c r="A17" s="105">
        <v>852</v>
      </c>
      <c r="B17" s="105">
        <v>85202</v>
      </c>
      <c r="C17" s="106" t="s">
        <v>122</v>
      </c>
      <c r="D17" s="107" t="s">
        <v>123</v>
      </c>
      <c r="E17" s="84">
        <v>0</v>
      </c>
      <c r="F17" s="84">
        <v>184.24</v>
      </c>
      <c r="G17" s="108">
        <v>0</v>
      </c>
      <c r="H17" s="84">
        <v>0</v>
      </c>
      <c r="I17" s="84">
        <v>0</v>
      </c>
    </row>
    <row r="18" spans="1:9" ht="54" customHeight="1" x14ac:dyDescent="0.25">
      <c r="A18" s="100">
        <v>852</v>
      </c>
      <c r="B18" s="100">
        <v>85202</v>
      </c>
      <c r="C18" s="101" t="s">
        <v>124</v>
      </c>
      <c r="D18" s="107" t="s">
        <v>125</v>
      </c>
      <c r="E18" s="103">
        <v>7326128</v>
      </c>
      <c r="F18" s="103">
        <v>3461083.45</v>
      </c>
      <c r="G18" s="85">
        <f>F18/E18</f>
        <v>0.47243010905624366</v>
      </c>
      <c r="H18" s="84">
        <v>4111354.24</v>
      </c>
      <c r="I18" s="84">
        <v>0</v>
      </c>
    </row>
    <row r="19" spans="1:9" ht="23.25" customHeight="1" x14ac:dyDescent="0.25">
      <c r="A19" s="77">
        <v>852</v>
      </c>
      <c r="B19" s="77">
        <v>85218</v>
      </c>
      <c r="C19" s="78" t="s">
        <v>107</v>
      </c>
      <c r="D19" s="90" t="s">
        <v>126</v>
      </c>
      <c r="E19" s="80">
        <f>SUM(E20:E21)</f>
        <v>310</v>
      </c>
      <c r="F19" s="80">
        <f>SUM(F20:F21)</f>
        <v>410.88</v>
      </c>
      <c r="G19" s="99">
        <f>F19/E19</f>
        <v>1.3254193548387097</v>
      </c>
      <c r="H19" s="80">
        <f>SUM(H20:H21)</f>
        <v>4.74</v>
      </c>
      <c r="I19" s="80">
        <f>SUM(I20:I21)</f>
        <v>4.74</v>
      </c>
    </row>
    <row r="20" spans="1:9" ht="23.25" customHeight="1" x14ac:dyDescent="0.25">
      <c r="A20" s="67">
        <v>852</v>
      </c>
      <c r="B20" s="67">
        <v>85218</v>
      </c>
      <c r="C20" s="68" t="s">
        <v>114</v>
      </c>
      <c r="D20" s="82" t="s">
        <v>115</v>
      </c>
      <c r="E20" s="83">
        <v>0</v>
      </c>
      <c r="F20" s="83">
        <v>1.26</v>
      </c>
      <c r="G20" s="85">
        <v>0</v>
      </c>
      <c r="H20" s="83">
        <v>4.74</v>
      </c>
      <c r="I20" s="83">
        <v>4.74</v>
      </c>
    </row>
    <row r="21" spans="1:9" ht="23.25" customHeight="1" x14ac:dyDescent="0.25">
      <c r="A21" s="67">
        <v>852</v>
      </c>
      <c r="B21" s="67">
        <v>85218</v>
      </c>
      <c r="C21" s="68" t="s">
        <v>122</v>
      </c>
      <c r="D21" s="82" t="s">
        <v>123</v>
      </c>
      <c r="E21" s="83">
        <v>310</v>
      </c>
      <c r="F21" s="83">
        <v>409.62</v>
      </c>
      <c r="G21" s="85">
        <f t="shared" ref="G21:G26" si="0">F21/E21</f>
        <v>1.3213548387096774</v>
      </c>
      <c r="H21" s="83">
        <v>0</v>
      </c>
      <c r="I21" s="83">
        <v>0</v>
      </c>
    </row>
    <row r="22" spans="1:9" ht="23.25" customHeight="1" x14ac:dyDescent="0.25">
      <c r="A22" s="86">
        <v>853</v>
      </c>
      <c r="B22" s="87" t="s">
        <v>107</v>
      </c>
      <c r="C22" s="88" t="s">
        <v>107</v>
      </c>
      <c r="D22" s="89" t="s">
        <v>127</v>
      </c>
      <c r="E22" s="75">
        <f>E23</f>
        <v>36000</v>
      </c>
      <c r="F22" s="75">
        <f>F23</f>
        <v>18733.509999999998</v>
      </c>
      <c r="G22" s="76">
        <f t="shared" si="0"/>
        <v>0.5203752777777777</v>
      </c>
      <c r="H22" s="75">
        <f>H23</f>
        <v>0</v>
      </c>
      <c r="I22" s="75">
        <f>I23</f>
        <v>0</v>
      </c>
    </row>
    <row r="23" spans="1:9" ht="32.25" customHeight="1" x14ac:dyDescent="0.25">
      <c r="A23" s="77">
        <v>853</v>
      </c>
      <c r="B23" s="77">
        <v>85324</v>
      </c>
      <c r="C23" s="78" t="s">
        <v>107</v>
      </c>
      <c r="D23" s="90" t="s">
        <v>128</v>
      </c>
      <c r="E23" s="83">
        <f>E24</f>
        <v>36000</v>
      </c>
      <c r="F23" s="83">
        <f>F24</f>
        <v>18733.509999999998</v>
      </c>
      <c r="G23" s="91">
        <f t="shared" si="0"/>
        <v>0.5203752777777777</v>
      </c>
      <c r="H23" s="83">
        <f>H24</f>
        <v>0</v>
      </c>
      <c r="I23" s="83">
        <f>I24</f>
        <v>0</v>
      </c>
    </row>
    <row r="24" spans="1:9" ht="23.25" customHeight="1" x14ac:dyDescent="0.25">
      <c r="A24" s="67">
        <v>853</v>
      </c>
      <c r="B24" s="67">
        <v>85324</v>
      </c>
      <c r="C24" s="68" t="s">
        <v>122</v>
      </c>
      <c r="D24" s="82" t="s">
        <v>123</v>
      </c>
      <c r="E24" s="83">
        <v>36000</v>
      </c>
      <c r="F24" s="83">
        <v>18733.509999999998</v>
      </c>
      <c r="G24" s="85">
        <f t="shared" si="0"/>
        <v>0.5203752777777777</v>
      </c>
      <c r="H24" s="92">
        <v>0</v>
      </c>
      <c r="I24" s="92">
        <v>0</v>
      </c>
    </row>
    <row r="25" spans="1:9" ht="23.25" customHeight="1" x14ac:dyDescent="0.25">
      <c r="A25" s="86">
        <v>855</v>
      </c>
      <c r="B25" s="86" t="s">
        <v>107</v>
      </c>
      <c r="C25" s="93" t="s">
        <v>107</v>
      </c>
      <c r="D25" s="89" t="s">
        <v>129</v>
      </c>
      <c r="E25" s="75">
        <f>E26+E32</f>
        <v>1709356</v>
      </c>
      <c r="F25" s="75">
        <f>F26+F32</f>
        <v>880913.24</v>
      </c>
      <c r="G25" s="94">
        <f t="shared" si="0"/>
        <v>0.51534802580621009</v>
      </c>
      <c r="H25" s="75">
        <f>H26+H32</f>
        <v>967828.91999999993</v>
      </c>
      <c r="I25" s="75">
        <f>I26+I32</f>
        <v>42125.979999999996</v>
      </c>
    </row>
    <row r="26" spans="1:9" ht="23.25" customHeight="1" x14ac:dyDescent="0.25">
      <c r="A26" s="77">
        <v>855</v>
      </c>
      <c r="B26" s="77">
        <v>85508</v>
      </c>
      <c r="C26" s="78" t="s">
        <v>107</v>
      </c>
      <c r="D26" s="90" t="s">
        <v>130</v>
      </c>
      <c r="E26" s="80">
        <f>SUM(E27:E31)</f>
        <v>681111</v>
      </c>
      <c r="F26" s="80">
        <f>SUM(F27:F31)</f>
        <v>312865.52</v>
      </c>
      <c r="G26" s="99">
        <f t="shared" si="0"/>
        <v>0.45934586286229412</v>
      </c>
      <c r="H26" s="80">
        <f>SUM(H27:H31)</f>
        <v>341076.08999999997</v>
      </c>
      <c r="I26" s="80">
        <f>SUM(I27:I31)</f>
        <v>39226.469999999994</v>
      </c>
    </row>
    <row r="27" spans="1:9" ht="30" customHeight="1" x14ac:dyDescent="0.25">
      <c r="A27" s="67">
        <v>855</v>
      </c>
      <c r="B27" s="67">
        <v>85508</v>
      </c>
      <c r="C27" s="68" t="s">
        <v>131</v>
      </c>
      <c r="D27" s="82" t="s">
        <v>132</v>
      </c>
      <c r="E27" s="83">
        <v>0</v>
      </c>
      <c r="F27" s="83">
        <v>32</v>
      </c>
      <c r="G27" s="85">
        <v>0</v>
      </c>
      <c r="H27" s="83">
        <v>139.19999999999999</v>
      </c>
      <c r="I27" s="83">
        <v>139.19999999999999</v>
      </c>
    </row>
    <row r="28" spans="1:9" ht="23.25" customHeight="1" x14ac:dyDescent="0.25">
      <c r="A28" s="67">
        <v>855</v>
      </c>
      <c r="B28" s="67">
        <v>85508</v>
      </c>
      <c r="C28" s="68" t="s">
        <v>133</v>
      </c>
      <c r="D28" s="82" t="s">
        <v>134</v>
      </c>
      <c r="E28" s="83">
        <v>0</v>
      </c>
      <c r="F28" s="83">
        <v>30</v>
      </c>
      <c r="G28" s="85">
        <v>0</v>
      </c>
      <c r="H28" s="83">
        <v>33812.18</v>
      </c>
      <c r="I28" s="83">
        <v>33812.18</v>
      </c>
    </row>
    <row r="29" spans="1:9" ht="23.25" customHeight="1" x14ac:dyDescent="0.25">
      <c r="A29" s="67">
        <v>855</v>
      </c>
      <c r="B29" s="67">
        <v>85508</v>
      </c>
      <c r="C29" s="68" t="s">
        <v>114</v>
      </c>
      <c r="D29" s="82" t="s">
        <v>115</v>
      </c>
      <c r="E29" s="83">
        <v>0</v>
      </c>
      <c r="F29" s="83">
        <v>122.02</v>
      </c>
      <c r="G29" s="85">
        <v>0</v>
      </c>
      <c r="H29" s="83">
        <v>4749.3500000000004</v>
      </c>
      <c r="I29" s="83">
        <v>4749.3500000000004</v>
      </c>
    </row>
    <row r="30" spans="1:9" ht="23.25" customHeight="1" x14ac:dyDescent="0.25">
      <c r="A30" s="67">
        <v>855</v>
      </c>
      <c r="B30" s="67">
        <v>85508</v>
      </c>
      <c r="C30" s="68" t="s">
        <v>135</v>
      </c>
      <c r="D30" s="82" t="s">
        <v>136</v>
      </c>
      <c r="E30" s="83">
        <v>0</v>
      </c>
      <c r="F30" s="83">
        <v>344.32</v>
      </c>
      <c r="G30" s="85">
        <v>0</v>
      </c>
      <c r="H30" s="83">
        <v>525.74</v>
      </c>
      <c r="I30" s="83">
        <v>525.74</v>
      </c>
    </row>
    <row r="31" spans="1:9" ht="53.25" customHeight="1" x14ac:dyDescent="0.25">
      <c r="A31" s="67">
        <v>855</v>
      </c>
      <c r="B31" s="67">
        <v>85508</v>
      </c>
      <c r="C31" s="68" t="s">
        <v>124</v>
      </c>
      <c r="D31" s="107" t="s">
        <v>125</v>
      </c>
      <c r="E31" s="83">
        <v>681111</v>
      </c>
      <c r="F31" s="83">
        <v>312337.18</v>
      </c>
      <c r="G31" s="85">
        <f>F31/E31</f>
        <v>0.45857015963624137</v>
      </c>
      <c r="H31" s="83">
        <v>301849.62</v>
      </c>
      <c r="I31" s="83">
        <v>0</v>
      </c>
    </row>
    <row r="32" spans="1:9" ht="28.5" customHeight="1" x14ac:dyDescent="0.25">
      <c r="A32" s="77">
        <v>855</v>
      </c>
      <c r="B32" s="77">
        <v>85510</v>
      </c>
      <c r="C32" s="78" t="s">
        <v>107</v>
      </c>
      <c r="D32" s="90" t="s">
        <v>137</v>
      </c>
      <c r="E32" s="80">
        <f>SUM(E33:E37)</f>
        <v>1028245</v>
      </c>
      <c r="F32" s="80">
        <f>SUM(F33:F37)</f>
        <v>568047.72</v>
      </c>
      <c r="G32" s="99">
        <f>F32/E32</f>
        <v>0.55244394088957394</v>
      </c>
      <c r="H32" s="80">
        <f>SUM(H33:H37)</f>
        <v>626752.82999999996</v>
      </c>
      <c r="I32" s="80">
        <f>SUM(I33:I37)</f>
        <v>2899.5099999999998</v>
      </c>
    </row>
    <row r="33" spans="1:9" ht="28.5" customHeight="1" x14ac:dyDescent="0.25">
      <c r="A33" s="67">
        <v>855</v>
      </c>
      <c r="B33" s="67">
        <v>85510</v>
      </c>
      <c r="C33" s="68" t="s">
        <v>131</v>
      </c>
      <c r="D33" s="82" t="s">
        <v>132</v>
      </c>
      <c r="E33" s="83">
        <v>0</v>
      </c>
      <c r="F33" s="83">
        <v>0</v>
      </c>
      <c r="G33" s="85">
        <v>0</v>
      </c>
      <c r="H33" s="83">
        <v>46.4</v>
      </c>
      <c r="I33" s="83">
        <v>46.4</v>
      </c>
    </row>
    <row r="34" spans="1:9" ht="21" customHeight="1" x14ac:dyDescent="0.25">
      <c r="A34" s="67">
        <v>855</v>
      </c>
      <c r="B34" s="67">
        <v>85510</v>
      </c>
      <c r="C34" s="68" t="s">
        <v>133</v>
      </c>
      <c r="D34" s="82" t="s">
        <v>134</v>
      </c>
      <c r="E34" s="83">
        <v>8000</v>
      </c>
      <c r="F34" s="83">
        <v>2350</v>
      </c>
      <c r="G34" s="85">
        <f>F34/E34</f>
        <v>0.29375000000000001</v>
      </c>
      <c r="H34" s="83">
        <v>749.91</v>
      </c>
      <c r="I34" s="83">
        <v>749.91</v>
      </c>
    </row>
    <row r="35" spans="1:9" ht="21.75" customHeight="1" x14ac:dyDescent="0.25">
      <c r="A35" s="67">
        <v>855</v>
      </c>
      <c r="B35" s="67">
        <v>85510</v>
      </c>
      <c r="C35" s="68" t="s">
        <v>114</v>
      </c>
      <c r="D35" s="82" t="s">
        <v>115</v>
      </c>
      <c r="E35" s="83">
        <v>0</v>
      </c>
      <c r="F35" s="83">
        <v>0</v>
      </c>
      <c r="G35" s="85">
        <v>0</v>
      </c>
      <c r="H35" s="83">
        <v>224.86</v>
      </c>
      <c r="I35" s="83">
        <v>224.86</v>
      </c>
    </row>
    <row r="36" spans="1:9" ht="20.25" customHeight="1" x14ac:dyDescent="0.25">
      <c r="A36" s="67">
        <v>855</v>
      </c>
      <c r="B36" s="67">
        <v>85510</v>
      </c>
      <c r="C36" s="68" t="s">
        <v>135</v>
      </c>
      <c r="D36" s="82" t="s">
        <v>136</v>
      </c>
      <c r="E36" s="83">
        <v>0</v>
      </c>
      <c r="F36" s="83">
        <v>0</v>
      </c>
      <c r="G36" s="85">
        <v>0</v>
      </c>
      <c r="H36" s="83">
        <v>1878.34</v>
      </c>
      <c r="I36" s="83">
        <v>1878.34</v>
      </c>
    </row>
    <row r="37" spans="1:9" ht="53.25" customHeight="1" x14ac:dyDescent="0.25">
      <c r="A37" s="67">
        <v>855</v>
      </c>
      <c r="B37" s="67">
        <v>85510</v>
      </c>
      <c r="C37" s="68" t="s">
        <v>124</v>
      </c>
      <c r="D37" s="107" t="s">
        <v>125</v>
      </c>
      <c r="E37" s="83">
        <v>1020245</v>
      </c>
      <c r="F37" s="83">
        <v>565697.72</v>
      </c>
      <c r="G37" s="85">
        <f>F37/E37</f>
        <v>0.55447242574087596</v>
      </c>
      <c r="H37" s="83">
        <v>623853.31999999995</v>
      </c>
      <c r="I37" s="83">
        <v>0</v>
      </c>
    </row>
    <row r="38" spans="1:9" x14ac:dyDescent="0.25">
      <c r="A38" s="197" t="s">
        <v>138</v>
      </c>
      <c r="B38" s="198"/>
      <c r="C38" s="198"/>
      <c r="D38" s="199"/>
      <c r="E38" s="75">
        <f>E7+E10+E13+E22+E25</f>
        <v>10060666</v>
      </c>
      <c r="F38" s="75">
        <f>F7+F10+F13+F22+F25</f>
        <v>4807625.22</v>
      </c>
      <c r="G38" s="76">
        <f>F38/E38</f>
        <v>0.47786351519869558</v>
      </c>
      <c r="H38" s="75">
        <f>H7+H10+H13+H22+H25</f>
        <v>5534046.7299999995</v>
      </c>
      <c r="I38" s="75">
        <f>I7+I10+I13+I22+I25</f>
        <v>42130.719999999994</v>
      </c>
    </row>
  </sheetData>
  <mergeCells count="12">
    <mergeCell ref="I4:I5"/>
    <mergeCell ref="A38:D38"/>
    <mergeCell ref="G1:I1"/>
    <mergeCell ref="A2:I2"/>
    <mergeCell ref="A4:A5"/>
    <mergeCell ref="B4:B5"/>
    <mergeCell ref="C4:C5"/>
    <mergeCell ref="D4:D5"/>
    <mergeCell ref="E4:E5"/>
    <mergeCell ref="F4:F5"/>
    <mergeCell ref="G4:G5"/>
    <mergeCell ref="H4:H5"/>
  </mergeCells>
  <pageMargins left="0.7" right="0.7" top="0.75" bottom="0.75" header="0.3" footer="0.3"/>
  <pageSetup paperSize="9" scale="9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76E59-D19F-4A62-A594-0589E2B075F3}">
  <sheetPr>
    <pageSetUpPr fitToPage="1"/>
  </sheetPr>
  <dimension ref="A1:L123"/>
  <sheetViews>
    <sheetView workbookViewId="0"/>
  </sheetViews>
  <sheetFormatPr defaultRowHeight="15" x14ac:dyDescent="0.25"/>
  <cols>
    <col min="1" max="1" width="7.28515625" style="61" customWidth="1"/>
    <col min="2" max="2" width="8" style="61" customWidth="1"/>
    <col min="3" max="3" width="7.7109375" style="61" customWidth="1"/>
    <col min="4" max="4" width="35.5703125" style="61" customWidth="1"/>
    <col min="5" max="5" width="13.140625" style="61" customWidth="1"/>
    <col min="6" max="6" width="15.140625" style="61" customWidth="1"/>
    <col min="7" max="7" width="11.42578125" style="61" customWidth="1"/>
    <col min="8" max="8" width="12.7109375" style="61" customWidth="1"/>
    <col min="9" max="9" width="16" style="61" customWidth="1"/>
    <col min="10" max="10" width="9.140625" style="61"/>
    <col min="11" max="11" width="10" style="61" bestFit="1" customWidth="1"/>
    <col min="12" max="256" width="9.140625" style="61"/>
    <col min="257" max="257" width="7.28515625" style="61" customWidth="1"/>
    <col min="258" max="258" width="8" style="61" customWidth="1"/>
    <col min="259" max="259" width="7.7109375" style="61" customWidth="1"/>
    <col min="260" max="260" width="35.5703125" style="61" customWidth="1"/>
    <col min="261" max="261" width="13.140625" style="61" customWidth="1"/>
    <col min="262" max="262" width="15.140625" style="61" customWidth="1"/>
    <col min="263" max="263" width="11.42578125" style="61" customWidth="1"/>
    <col min="264" max="264" width="12.7109375" style="61" customWidth="1"/>
    <col min="265" max="265" width="16" style="61" customWidth="1"/>
    <col min="266" max="266" width="9.140625" style="61"/>
    <col min="267" max="267" width="10" style="61" bestFit="1" customWidth="1"/>
    <col min="268" max="512" width="9.140625" style="61"/>
    <col min="513" max="513" width="7.28515625" style="61" customWidth="1"/>
    <col min="514" max="514" width="8" style="61" customWidth="1"/>
    <col min="515" max="515" width="7.7109375" style="61" customWidth="1"/>
    <col min="516" max="516" width="35.5703125" style="61" customWidth="1"/>
    <col min="517" max="517" width="13.140625" style="61" customWidth="1"/>
    <col min="518" max="518" width="15.140625" style="61" customWidth="1"/>
    <col min="519" max="519" width="11.42578125" style="61" customWidth="1"/>
    <col min="520" max="520" width="12.7109375" style="61" customWidth="1"/>
    <col min="521" max="521" width="16" style="61" customWidth="1"/>
    <col min="522" max="522" width="9.140625" style="61"/>
    <col min="523" max="523" width="10" style="61" bestFit="1" customWidth="1"/>
    <col min="524" max="768" width="9.140625" style="61"/>
    <col min="769" max="769" width="7.28515625" style="61" customWidth="1"/>
    <col min="770" max="770" width="8" style="61" customWidth="1"/>
    <col min="771" max="771" width="7.7109375" style="61" customWidth="1"/>
    <col min="772" max="772" width="35.5703125" style="61" customWidth="1"/>
    <col min="773" max="773" width="13.140625" style="61" customWidth="1"/>
    <col min="774" max="774" width="15.140625" style="61" customWidth="1"/>
    <col min="775" max="775" width="11.42578125" style="61" customWidth="1"/>
    <col min="776" max="776" width="12.7109375" style="61" customWidth="1"/>
    <col min="777" max="777" width="16" style="61" customWidth="1"/>
    <col min="778" max="778" width="9.140625" style="61"/>
    <col min="779" max="779" width="10" style="61" bestFit="1" customWidth="1"/>
    <col min="780" max="1024" width="9.140625" style="61"/>
    <col min="1025" max="1025" width="7.28515625" style="61" customWidth="1"/>
    <col min="1026" max="1026" width="8" style="61" customWidth="1"/>
    <col min="1027" max="1027" width="7.7109375" style="61" customWidth="1"/>
    <col min="1028" max="1028" width="35.5703125" style="61" customWidth="1"/>
    <col min="1029" max="1029" width="13.140625" style="61" customWidth="1"/>
    <col min="1030" max="1030" width="15.140625" style="61" customWidth="1"/>
    <col min="1031" max="1031" width="11.42578125" style="61" customWidth="1"/>
    <col min="1032" max="1032" width="12.7109375" style="61" customWidth="1"/>
    <col min="1033" max="1033" width="16" style="61" customWidth="1"/>
    <col min="1034" max="1034" width="9.140625" style="61"/>
    <col min="1035" max="1035" width="10" style="61" bestFit="1" customWidth="1"/>
    <col min="1036" max="1280" width="9.140625" style="61"/>
    <col min="1281" max="1281" width="7.28515625" style="61" customWidth="1"/>
    <col min="1282" max="1282" width="8" style="61" customWidth="1"/>
    <col min="1283" max="1283" width="7.7109375" style="61" customWidth="1"/>
    <col min="1284" max="1284" width="35.5703125" style="61" customWidth="1"/>
    <col min="1285" max="1285" width="13.140625" style="61" customWidth="1"/>
    <col min="1286" max="1286" width="15.140625" style="61" customWidth="1"/>
    <col min="1287" max="1287" width="11.42578125" style="61" customWidth="1"/>
    <col min="1288" max="1288" width="12.7109375" style="61" customWidth="1"/>
    <col min="1289" max="1289" width="16" style="61" customWidth="1"/>
    <col min="1290" max="1290" width="9.140625" style="61"/>
    <col min="1291" max="1291" width="10" style="61" bestFit="1" customWidth="1"/>
    <col min="1292" max="1536" width="9.140625" style="61"/>
    <col min="1537" max="1537" width="7.28515625" style="61" customWidth="1"/>
    <col min="1538" max="1538" width="8" style="61" customWidth="1"/>
    <col min="1539" max="1539" width="7.7109375" style="61" customWidth="1"/>
    <col min="1540" max="1540" width="35.5703125" style="61" customWidth="1"/>
    <col min="1541" max="1541" width="13.140625" style="61" customWidth="1"/>
    <col min="1542" max="1542" width="15.140625" style="61" customWidth="1"/>
    <col min="1543" max="1543" width="11.42578125" style="61" customWidth="1"/>
    <col min="1544" max="1544" width="12.7109375" style="61" customWidth="1"/>
    <col min="1545" max="1545" width="16" style="61" customWidth="1"/>
    <col min="1546" max="1546" width="9.140625" style="61"/>
    <col min="1547" max="1547" width="10" style="61" bestFit="1" customWidth="1"/>
    <col min="1548" max="1792" width="9.140625" style="61"/>
    <col min="1793" max="1793" width="7.28515625" style="61" customWidth="1"/>
    <col min="1794" max="1794" width="8" style="61" customWidth="1"/>
    <col min="1795" max="1795" width="7.7109375" style="61" customWidth="1"/>
    <col min="1796" max="1796" width="35.5703125" style="61" customWidth="1"/>
    <col min="1797" max="1797" width="13.140625" style="61" customWidth="1"/>
    <col min="1798" max="1798" width="15.140625" style="61" customWidth="1"/>
    <col min="1799" max="1799" width="11.42578125" style="61" customWidth="1"/>
    <col min="1800" max="1800" width="12.7109375" style="61" customWidth="1"/>
    <col min="1801" max="1801" width="16" style="61" customWidth="1"/>
    <col min="1802" max="1802" width="9.140625" style="61"/>
    <col min="1803" max="1803" width="10" style="61" bestFit="1" customWidth="1"/>
    <col min="1804" max="2048" width="9.140625" style="61"/>
    <col min="2049" max="2049" width="7.28515625" style="61" customWidth="1"/>
    <col min="2050" max="2050" width="8" style="61" customWidth="1"/>
    <col min="2051" max="2051" width="7.7109375" style="61" customWidth="1"/>
    <col min="2052" max="2052" width="35.5703125" style="61" customWidth="1"/>
    <col min="2053" max="2053" width="13.140625" style="61" customWidth="1"/>
    <col min="2054" max="2054" width="15.140625" style="61" customWidth="1"/>
    <col min="2055" max="2055" width="11.42578125" style="61" customWidth="1"/>
    <col min="2056" max="2056" width="12.7109375" style="61" customWidth="1"/>
    <col min="2057" max="2057" width="16" style="61" customWidth="1"/>
    <col min="2058" max="2058" width="9.140625" style="61"/>
    <col min="2059" max="2059" width="10" style="61" bestFit="1" customWidth="1"/>
    <col min="2060" max="2304" width="9.140625" style="61"/>
    <col min="2305" max="2305" width="7.28515625" style="61" customWidth="1"/>
    <col min="2306" max="2306" width="8" style="61" customWidth="1"/>
    <col min="2307" max="2307" width="7.7109375" style="61" customWidth="1"/>
    <col min="2308" max="2308" width="35.5703125" style="61" customWidth="1"/>
    <col min="2309" max="2309" width="13.140625" style="61" customWidth="1"/>
    <col min="2310" max="2310" width="15.140625" style="61" customWidth="1"/>
    <col min="2311" max="2311" width="11.42578125" style="61" customWidth="1"/>
    <col min="2312" max="2312" width="12.7109375" style="61" customWidth="1"/>
    <col min="2313" max="2313" width="16" style="61" customWidth="1"/>
    <col min="2314" max="2314" width="9.140625" style="61"/>
    <col min="2315" max="2315" width="10" style="61" bestFit="1" customWidth="1"/>
    <col min="2316" max="2560" width="9.140625" style="61"/>
    <col min="2561" max="2561" width="7.28515625" style="61" customWidth="1"/>
    <col min="2562" max="2562" width="8" style="61" customWidth="1"/>
    <col min="2563" max="2563" width="7.7109375" style="61" customWidth="1"/>
    <col min="2564" max="2564" width="35.5703125" style="61" customWidth="1"/>
    <col min="2565" max="2565" width="13.140625" style="61" customWidth="1"/>
    <col min="2566" max="2566" width="15.140625" style="61" customWidth="1"/>
    <col min="2567" max="2567" width="11.42578125" style="61" customWidth="1"/>
    <col min="2568" max="2568" width="12.7109375" style="61" customWidth="1"/>
    <col min="2569" max="2569" width="16" style="61" customWidth="1"/>
    <col min="2570" max="2570" width="9.140625" style="61"/>
    <col min="2571" max="2571" width="10" style="61" bestFit="1" customWidth="1"/>
    <col min="2572" max="2816" width="9.140625" style="61"/>
    <col min="2817" max="2817" width="7.28515625" style="61" customWidth="1"/>
    <col min="2818" max="2818" width="8" style="61" customWidth="1"/>
    <col min="2819" max="2819" width="7.7109375" style="61" customWidth="1"/>
    <col min="2820" max="2820" width="35.5703125" style="61" customWidth="1"/>
    <col min="2821" max="2821" width="13.140625" style="61" customWidth="1"/>
    <col min="2822" max="2822" width="15.140625" style="61" customWidth="1"/>
    <col min="2823" max="2823" width="11.42578125" style="61" customWidth="1"/>
    <col min="2824" max="2824" width="12.7109375" style="61" customWidth="1"/>
    <col min="2825" max="2825" width="16" style="61" customWidth="1"/>
    <col min="2826" max="2826" width="9.140625" style="61"/>
    <col min="2827" max="2827" width="10" style="61" bestFit="1" customWidth="1"/>
    <col min="2828" max="3072" width="9.140625" style="61"/>
    <col min="3073" max="3073" width="7.28515625" style="61" customWidth="1"/>
    <col min="3074" max="3074" width="8" style="61" customWidth="1"/>
    <col min="3075" max="3075" width="7.7109375" style="61" customWidth="1"/>
    <col min="3076" max="3076" width="35.5703125" style="61" customWidth="1"/>
    <col min="3077" max="3077" width="13.140625" style="61" customWidth="1"/>
    <col min="3078" max="3078" width="15.140625" style="61" customWidth="1"/>
    <col min="3079" max="3079" width="11.42578125" style="61" customWidth="1"/>
    <col min="3080" max="3080" width="12.7109375" style="61" customWidth="1"/>
    <col min="3081" max="3081" width="16" style="61" customWidth="1"/>
    <col min="3082" max="3082" width="9.140625" style="61"/>
    <col min="3083" max="3083" width="10" style="61" bestFit="1" customWidth="1"/>
    <col min="3084" max="3328" width="9.140625" style="61"/>
    <col min="3329" max="3329" width="7.28515625" style="61" customWidth="1"/>
    <col min="3330" max="3330" width="8" style="61" customWidth="1"/>
    <col min="3331" max="3331" width="7.7109375" style="61" customWidth="1"/>
    <col min="3332" max="3332" width="35.5703125" style="61" customWidth="1"/>
    <col min="3333" max="3333" width="13.140625" style="61" customWidth="1"/>
    <col min="3334" max="3334" width="15.140625" style="61" customWidth="1"/>
    <col min="3335" max="3335" width="11.42578125" style="61" customWidth="1"/>
    <col min="3336" max="3336" width="12.7109375" style="61" customWidth="1"/>
    <col min="3337" max="3337" width="16" style="61" customWidth="1"/>
    <col min="3338" max="3338" width="9.140625" style="61"/>
    <col min="3339" max="3339" width="10" style="61" bestFit="1" customWidth="1"/>
    <col min="3340" max="3584" width="9.140625" style="61"/>
    <col min="3585" max="3585" width="7.28515625" style="61" customWidth="1"/>
    <col min="3586" max="3586" width="8" style="61" customWidth="1"/>
    <col min="3587" max="3587" width="7.7109375" style="61" customWidth="1"/>
    <col min="3588" max="3588" width="35.5703125" style="61" customWidth="1"/>
    <col min="3589" max="3589" width="13.140625" style="61" customWidth="1"/>
    <col min="3590" max="3590" width="15.140625" style="61" customWidth="1"/>
    <col min="3591" max="3591" width="11.42578125" style="61" customWidth="1"/>
    <col min="3592" max="3592" width="12.7109375" style="61" customWidth="1"/>
    <col min="3593" max="3593" width="16" style="61" customWidth="1"/>
    <col min="3594" max="3594" width="9.140625" style="61"/>
    <col min="3595" max="3595" width="10" style="61" bestFit="1" customWidth="1"/>
    <col min="3596" max="3840" width="9.140625" style="61"/>
    <col min="3841" max="3841" width="7.28515625" style="61" customWidth="1"/>
    <col min="3842" max="3842" width="8" style="61" customWidth="1"/>
    <col min="3843" max="3843" width="7.7109375" style="61" customWidth="1"/>
    <col min="3844" max="3844" width="35.5703125" style="61" customWidth="1"/>
    <col min="3845" max="3845" width="13.140625" style="61" customWidth="1"/>
    <col min="3846" max="3846" width="15.140625" style="61" customWidth="1"/>
    <col min="3847" max="3847" width="11.42578125" style="61" customWidth="1"/>
    <col min="3848" max="3848" width="12.7109375" style="61" customWidth="1"/>
    <col min="3849" max="3849" width="16" style="61" customWidth="1"/>
    <col min="3850" max="3850" width="9.140625" style="61"/>
    <col min="3851" max="3851" width="10" style="61" bestFit="1" customWidth="1"/>
    <col min="3852" max="4096" width="9.140625" style="61"/>
    <col min="4097" max="4097" width="7.28515625" style="61" customWidth="1"/>
    <col min="4098" max="4098" width="8" style="61" customWidth="1"/>
    <col min="4099" max="4099" width="7.7109375" style="61" customWidth="1"/>
    <col min="4100" max="4100" width="35.5703125" style="61" customWidth="1"/>
    <col min="4101" max="4101" width="13.140625" style="61" customWidth="1"/>
    <col min="4102" max="4102" width="15.140625" style="61" customWidth="1"/>
    <col min="4103" max="4103" width="11.42578125" style="61" customWidth="1"/>
    <col min="4104" max="4104" width="12.7109375" style="61" customWidth="1"/>
    <col min="4105" max="4105" width="16" style="61" customWidth="1"/>
    <col min="4106" max="4106" width="9.140625" style="61"/>
    <col min="4107" max="4107" width="10" style="61" bestFit="1" customWidth="1"/>
    <col min="4108" max="4352" width="9.140625" style="61"/>
    <col min="4353" max="4353" width="7.28515625" style="61" customWidth="1"/>
    <col min="4354" max="4354" width="8" style="61" customWidth="1"/>
    <col min="4355" max="4355" width="7.7109375" style="61" customWidth="1"/>
    <col min="4356" max="4356" width="35.5703125" style="61" customWidth="1"/>
    <col min="4357" max="4357" width="13.140625" style="61" customWidth="1"/>
    <col min="4358" max="4358" width="15.140625" style="61" customWidth="1"/>
    <col min="4359" max="4359" width="11.42578125" style="61" customWidth="1"/>
    <col min="4360" max="4360" width="12.7109375" style="61" customWidth="1"/>
    <col min="4361" max="4361" width="16" style="61" customWidth="1"/>
    <col min="4362" max="4362" width="9.140625" style="61"/>
    <col min="4363" max="4363" width="10" style="61" bestFit="1" customWidth="1"/>
    <col min="4364" max="4608" width="9.140625" style="61"/>
    <col min="4609" max="4609" width="7.28515625" style="61" customWidth="1"/>
    <col min="4610" max="4610" width="8" style="61" customWidth="1"/>
    <col min="4611" max="4611" width="7.7109375" style="61" customWidth="1"/>
    <col min="4612" max="4612" width="35.5703125" style="61" customWidth="1"/>
    <col min="4613" max="4613" width="13.140625" style="61" customWidth="1"/>
    <col min="4614" max="4614" width="15.140625" style="61" customWidth="1"/>
    <col min="4615" max="4615" width="11.42578125" style="61" customWidth="1"/>
    <col min="4616" max="4616" width="12.7109375" style="61" customWidth="1"/>
    <col min="4617" max="4617" width="16" style="61" customWidth="1"/>
    <col min="4618" max="4618" width="9.140625" style="61"/>
    <col min="4619" max="4619" width="10" style="61" bestFit="1" customWidth="1"/>
    <col min="4620" max="4864" width="9.140625" style="61"/>
    <col min="4865" max="4865" width="7.28515625" style="61" customWidth="1"/>
    <col min="4866" max="4866" width="8" style="61" customWidth="1"/>
    <col min="4867" max="4867" width="7.7109375" style="61" customWidth="1"/>
    <col min="4868" max="4868" width="35.5703125" style="61" customWidth="1"/>
    <col min="4869" max="4869" width="13.140625" style="61" customWidth="1"/>
    <col min="4870" max="4870" width="15.140625" style="61" customWidth="1"/>
    <col min="4871" max="4871" width="11.42578125" style="61" customWidth="1"/>
    <col min="4872" max="4872" width="12.7109375" style="61" customWidth="1"/>
    <col min="4873" max="4873" width="16" style="61" customWidth="1"/>
    <col min="4874" max="4874" width="9.140625" style="61"/>
    <col min="4875" max="4875" width="10" style="61" bestFit="1" customWidth="1"/>
    <col min="4876" max="5120" width="9.140625" style="61"/>
    <col min="5121" max="5121" width="7.28515625" style="61" customWidth="1"/>
    <col min="5122" max="5122" width="8" style="61" customWidth="1"/>
    <col min="5123" max="5123" width="7.7109375" style="61" customWidth="1"/>
    <col min="5124" max="5124" width="35.5703125" style="61" customWidth="1"/>
    <col min="5125" max="5125" width="13.140625" style="61" customWidth="1"/>
    <col min="5126" max="5126" width="15.140625" style="61" customWidth="1"/>
    <col min="5127" max="5127" width="11.42578125" style="61" customWidth="1"/>
    <col min="5128" max="5128" width="12.7109375" style="61" customWidth="1"/>
    <col min="5129" max="5129" width="16" style="61" customWidth="1"/>
    <col min="5130" max="5130" width="9.140625" style="61"/>
    <col min="5131" max="5131" width="10" style="61" bestFit="1" customWidth="1"/>
    <col min="5132" max="5376" width="9.140625" style="61"/>
    <col min="5377" max="5377" width="7.28515625" style="61" customWidth="1"/>
    <col min="5378" max="5378" width="8" style="61" customWidth="1"/>
    <col min="5379" max="5379" width="7.7109375" style="61" customWidth="1"/>
    <col min="5380" max="5380" width="35.5703125" style="61" customWidth="1"/>
    <col min="5381" max="5381" width="13.140625" style="61" customWidth="1"/>
    <col min="5382" max="5382" width="15.140625" style="61" customWidth="1"/>
    <col min="5383" max="5383" width="11.42578125" style="61" customWidth="1"/>
    <col min="5384" max="5384" width="12.7109375" style="61" customWidth="1"/>
    <col min="5385" max="5385" width="16" style="61" customWidth="1"/>
    <col min="5386" max="5386" width="9.140625" style="61"/>
    <col min="5387" max="5387" width="10" style="61" bestFit="1" customWidth="1"/>
    <col min="5388" max="5632" width="9.140625" style="61"/>
    <col min="5633" max="5633" width="7.28515625" style="61" customWidth="1"/>
    <col min="5634" max="5634" width="8" style="61" customWidth="1"/>
    <col min="5635" max="5635" width="7.7109375" style="61" customWidth="1"/>
    <col min="5636" max="5636" width="35.5703125" style="61" customWidth="1"/>
    <col min="5637" max="5637" width="13.140625" style="61" customWidth="1"/>
    <col min="5638" max="5638" width="15.140625" style="61" customWidth="1"/>
    <col min="5639" max="5639" width="11.42578125" style="61" customWidth="1"/>
    <col min="5640" max="5640" width="12.7109375" style="61" customWidth="1"/>
    <col min="5641" max="5641" width="16" style="61" customWidth="1"/>
    <col min="5642" max="5642" width="9.140625" style="61"/>
    <col min="5643" max="5643" width="10" style="61" bestFit="1" customWidth="1"/>
    <col min="5644" max="5888" width="9.140625" style="61"/>
    <col min="5889" max="5889" width="7.28515625" style="61" customWidth="1"/>
    <col min="5890" max="5890" width="8" style="61" customWidth="1"/>
    <col min="5891" max="5891" width="7.7109375" style="61" customWidth="1"/>
    <col min="5892" max="5892" width="35.5703125" style="61" customWidth="1"/>
    <col min="5893" max="5893" width="13.140625" style="61" customWidth="1"/>
    <col min="5894" max="5894" width="15.140625" style="61" customWidth="1"/>
    <col min="5895" max="5895" width="11.42578125" style="61" customWidth="1"/>
    <col min="5896" max="5896" width="12.7109375" style="61" customWidth="1"/>
    <col min="5897" max="5897" width="16" style="61" customWidth="1"/>
    <col min="5898" max="5898" width="9.140625" style="61"/>
    <col min="5899" max="5899" width="10" style="61" bestFit="1" customWidth="1"/>
    <col min="5900" max="6144" width="9.140625" style="61"/>
    <col min="6145" max="6145" width="7.28515625" style="61" customWidth="1"/>
    <col min="6146" max="6146" width="8" style="61" customWidth="1"/>
    <col min="6147" max="6147" width="7.7109375" style="61" customWidth="1"/>
    <col min="6148" max="6148" width="35.5703125" style="61" customWidth="1"/>
    <col min="6149" max="6149" width="13.140625" style="61" customWidth="1"/>
    <col min="6150" max="6150" width="15.140625" style="61" customWidth="1"/>
    <col min="6151" max="6151" width="11.42578125" style="61" customWidth="1"/>
    <col min="6152" max="6152" width="12.7109375" style="61" customWidth="1"/>
    <col min="6153" max="6153" width="16" style="61" customWidth="1"/>
    <col min="6154" max="6154" width="9.140625" style="61"/>
    <col min="6155" max="6155" width="10" style="61" bestFit="1" customWidth="1"/>
    <col min="6156" max="6400" width="9.140625" style="61"/>
    <col min="6401" max="6401" width="7.28515625" style="61" customWidth="1"/>
    <col min="6402" max="6402" width="8" style="61" customWidth="1"/>
    <col min="6403" max="6403" width="7.7109375" style="61" customWidth="1"/>
    <col min="6404" max="6404" width="35.5703125" style="61" customWidth="1"/>
    <col min="6405" max="6405" width="13.140625" style="61" customWidth="1"/>
    <col min="6406" max="6406" width="15.140625" style="61" customWidth="1"/>
    <col min="6407" max="6407" width="11.42578125" style="61" customWidth="1"/>
    <col min="6408" max="6408" width="12.7109375" style="61" customWidth="1"/>
    <col min="6409" max="6409" width="16" style="61" customWidth="1"/>
    <col min="6410" max="6410" width="9.140625" style="61"/>
    <col min="6411" max="6411" width="10" style="61" bestFit="1" customWidth="1"/>
    <col min="6412" max="6656" width="9.140625" style="61"/>
    <col min="6657" max="6657" width="7.28515625" style="61" customWidth="1"/>
    <col min="6658" max="6658" width="8" style="61" customWidth="1"/>
    <col min="6659" max="6659" width="7.7109375" style="61" customWidth="1"/>
    <col min="6660" max="6660" width="35.5703125" style="61" customWidth="1"/>
    <col min="6661" max="6661" width="13.140625" style="61" customWidth="1"/>
    <col min="6662" max="6662" width="15.140625" style="61" customWidth="1"/>
    <col min="6663" max="6663" width="11.42578125" style="61" customWidth="1"/>
    <col min="6664" max="6664" width="12.7109375" style="61" customWidth="1"/>
    <col min="6665" max="6665" width="16" style="61" customWidth="1"/>
    <col min="6666" max="6666" width="9.140625" style="61"/>
    <col min="6667" max="6667" width="10" style="61" bestFit="1" customWidth="1"/>
    <col min="6668" max="6912" width="9.140625" style="61"/>
    <col min="6913" max="6913" width="7.28515625" style="61" customWidth="1"/>
    <col min="6914" max="6914" width="8" style="61" customWidth="1"/>
    <col min="6915" max="6915" width="7.7109375" style="61" customWidth="1"/>
    <col min="6916" max="6916" width="35.5703125" style="61" customWidth="1"/>
    <col min="6917" max="6917" width="13.140625" style="61" customWidth="1"/>
    <col min="6918" max="6918" width="15.140625" style="61" customWidth="1"/>
    <col min="6919" max="6919" width="11.42578125" style="61" customWidth="1"/>
    <col min="6920" max="6920" width="12.7109375" style="61" customWidth="1"/>
    <col min="6921" max="6921" width="16" style="61" customWidth="1"/>
    <col min="6922" max="6922" width="9.140625" style="61"/>
    <col min="6923" max="6923" width="10" style="61" bestFit="1" customWidth="1"/>
    <col min="6924" max="7168" width="9.140625" style="61"/>
    <col min="7169" max="7169" width="7.28515625" style="61" customWidth="1"/>
    <col min="7170" max="7170" width="8" style="61" customWidth="1"/>
    <col min="7171" max="7171" width="7.7109375" style="61" customWidth="1"/>
    <col min="7172" max="7172" width="35.5703125" style="61" customWidth="1"/>
    <col min="7173" max="7173" width="13.140625" style="61" customWidth="1"/>
    <col min="7174" max="7174" width="15.140625" style="61" customWidth="1"/>
    <col min="7175" max="7175" width="11.42578125" style="61" customWidth="1"/>
    <col min="7176" max="7176" width="12.7109375" style="61" customWidth="1"/>
    <col min="7177" max="7177" width="16" style="61" customWidth="1"/>
    <col min="7178" max="7178" width="9.140625" style="61"/>
    <col min="7179" max="7179" width="10" style="61" bestFit="1" customWidth="1"/>
    <col min="7180" max="7424" width="9.140625" style="61"/>
    <col min="7425" max="7425" width="7.28515625" style="61" customWidth="1"/>
    <col min="7426" max="7426" width="8" style="61" customWidth="1"/>
    <col min="7427" max="7427" width="7.7109375" style="61" customWidth="1"/>
    <col min="7428" max="7428" width="35.5703125" style="61" customWidth="1"/>
    <col min="7429" max="7429" width="13.140625" style="61" customWidth="1"/>
    <col min="7430" max="7430" width="15.140625" style="61" customWidth="1"/>
    <col min="7431" max="7431" width="11.42578125" style="61" customWidth="1"/>
    <col min="7432" max="7432" width="12.7109375" style="61" customWidth="1"/>
    <col min="7433" max="7433" width="16" style="61" customWidth="1"/>
    <col min="7434" max="7434" width="9.140625" style="61"/>
    <col min="7435" max="7435" width="10" style="61" bestFit="1" customWidth="1"/>
    <col min="7436" max="7680" width="9.140625" style="61"/>
    <col min="7681" max="7681" width="7.28515625" style="61" customWidth="1"/>
    <col min="7682" max="7682" width="8" style="61" customWidth="1"/>
    <col min="7683" max="7683" width="7.7109375" style="61" customWidth="1"/>
    <col min="7684" max="7684" width="35.5703125" style="61" customWidth="1"/>
    <col min="7685" max="7685" width="13.140625" style="61" customWidth="1"/>
    <col min="7686" max="7686" width="15.140625" style="61" customWidth="1"/>
    <col min="7687" max="7687" width="11.42578125" style="61" customWidth="1"/>
    <col min="7688" max="7688" width="12.7109375" style="61" customWidth="1"/>
    <col min="7689" max="7689" width="16" style="61" customWidth="1"/>
    <col min="7690" max="7690" width="9.140625" style="61"/>
    <col min="7691" max="7691" width="10" style="61" bestFit="1" customWidth="1"/>
    <col min="7692" max="7936" width="9.140625" style="61"/>
    <col min="7937" max="7937" width="7.28515625" style="61" customWidth="1"/>
    <col min="7938" max="7938" width="8" style="61" customWidth="1"/>
    <col min="7939" max="7939" width="7.7109375" style="61" customWidth="1"/>
    <col min="7940" max="7940" width="35.5703125" style="61" customWidth="1"/>
    <col min="7941" max="7941" width="13.140625" style="61" customWidth="1"/>
    <col min="7942" max="7942" width="15.140625" style="61" customWidth="1"/>
    <col min="7943" max="7943" width="11.42578125" style="61" customWidth="1"/>
    <col min="7944" max="7944" width="12.7109375" style="61" customWidth="1"/>
    <col min="7945" max="7945" width="16" style="61" customWidth="1"/>
    <col min="7946" max="7946" width="9.140625" style="61"/>
    <col min="7947" max="7947" width="10" style="61" bestFit="1" customWidth="1"/>
    <col min="7948" max="8192" width="9.140625" style="61"/>
    <col min="8193" max="8193" width="7.28515625" style="61" customWidth="1"/>
    <col min="8194" max="8194" width="8" style="61" customWidth="1"/>
    <col min="8195" max="8195" width="7.7109375" style="61" customWidth="1"/>
    <col min="8196" max="8196" width="35.5703125" style="61" customWidth="1"/>
    <col min="8197" max="8197" width="13.140625" style="61" customWidth="1"/>
    <col min="8198" max="8198" width="15.140625" style="61" customWidth="1"/>
    <col min="8199" max="8199" width="11.42578125" style="61" customWidth="1"/>
    <col min="8200" max="8200" width="12.7109375" style="61" customWidth="1"/>
    <col min="8201" max="8201" width="16" style="61" customWidth="1"/>
    <col min="8202" max="8202" width="9.140625" style="61"/>
    <col min="8203" max="8203" width="10" style="61" bestFit="1" customWidth="1"/>
    <col min="8204" max="8448" width="9.140625" style="61"/>
    <col min="8449" max="8449" width="7.28515625" style="61" customWidth="1"/>
    <col min="8450" max="8450" width="8" style="61" customWidth="1"/>
    <col min="8451" max="8451" width="7.7109375" style="61" customWidth="1"/>
    <col min="8452" max="8452" width="35.5703125" style="61" customWidth="1"/>
    <col min="8453" max="8453" width="13.140625" style="61" customWidth="1"/>
    <col min="8454" max="8454" width="15.140625" style="61" customWidth="1"/>
    <col min="8455" max="8455" width="11.42578125" style="61" customWidth="1"/>
    <col min="8456" max="8456" width="12.7109375" style="61" customWidth="1"/>
    <col min="8457" max="8457" width="16" style="61" customWidth="1"/>
    <col min="8458" max="8458" width="9.140625" style="61"/>
    <col min="8459" max="8459" width="10" style="61" bestFit="1" customWidth="1"/>
    <col min="8460" max="8704" width="9.140625" style="61"/>
    <col min="8705" max="8705" width="7.28515625" style="61" customWidth="1"/>
    <col min="8706" max="8706" width="8" style="61" customWidth="1"/>
    <col min="8707" max="8707" width="7.7109375" style="61" customWidth="1"/>
    <col min="8708" max="8708" width="35.5703125" style="61" customWidth="1"/>
    <col min="8709" max="8709" width="13.140625" style="61" customWidth="1"/>
    <col min="8710" max="8710" width="15.140625" style="61" customWidth="1"/>
    <col min="8711" max="8711" width="11.42578125" style="61" customWidth="1"/>
    <col min="8712" max="8712" width="12.7109375" style="61" customWidth="1"/>
    <col min="8713" max="8713" width="16" style="61" customWidth="1"/>
    <col min="8714" max="8714" width="9.140625" style="61"/>
    <col min="8715" max="8715" width="10" style="61" bestFit="1" customWidth="1"/>
    <col min="8716" max="8960" width="9.140625" style="61"/>
    <col min="8961" max="8961" width="7.28515625" style="61" customWidth="1"/>
    <col min="8962" max="8962" width="8" style="61" customWidth="1"/>
    <col min="8963" max="8963" width="7.7109375" style="61" customWidth="1"/>
    <col min="8964" max="8964" width="35.5703125" style="61" customWidth="1"/>
    <col min="8965" max="8965" width="13.140625" style="61" customWidth="1"/>
    <col min="8966" max="8966" width="15.140625" style="61" customWidth="1"/>
    <col min="8967" max="8967" width="11.42578125" style="61" customWidth="1"/>
    <col min="8968" max="8968" width="12.7109375" style="61" customWidth="1"/>
    <col min="8969" max="8969" width="16" style="61" customWidth="1"/>
    <col min="8970" max="8970" width="9.140625" style="61"/>
    <col min="8971" max="8971" width="10" style="61" bestFit="1" customWidth="1"/>
    <col min="8972" max="9216" width="9.140625" style="61"/>
    <col min="9217" max="9217" width="7.28515625" style="61" customWidth="1"/>
    <col min="9218" max="9218" width="8" style="61" customWidth="1"/>
    <col min="9219" max="9219" width="7.7109375" style="61" customWidth="1"/>
    <col min="9220" max="9220" width="35.5703125" style="61" customWidth="1"/>
    <col min="9221" max="9221" width="13.140625" style="61" customWidth="1"/>
    <col min="9222" max="9222" width="15.140625" style="61" customWidth="1"/>
    <col min="9223" max="9223" width="11.42578125" style="61" customWidth="1"/>
    <col min="9224" max="9224" width="12.7109375" style="61" customWidth="1"/>
    <col min="9225" max="9225" width="16" style="61" customWidth="1"/>
    <col min="9226" max="9226" width="9.140625" style="61"/>
    <col min="9227" max="9227" width="10" style="61" bestFit="1" customWidth="1"/>
    <col min="9228" max="9472" width="9.140625" style="61"/>
    <col min="9473" max="9473" width="7.28515625" style="61" customWidth="1"/>
    <col min="9474" max="9474" width="8" style="61" customWidth="1"/>
    <col min="9475" max="9475" width="7.7109375" style="61" customWidth="1"/>
    <col min="9476" max="9476" width="35.5703125" style="61" customWidth="1"/>
    <col min="9477" max="9477" width="13.140625" style="61" customWidth="1"/>
    <col min="9478" max="9478" width="15.140625" style="61" customWidth="1"/>
    <col min="9479" max="9479" width="11.42578125" style="61" customWidth="1"/>
    <col min="9480" max="9480" width="12.7109375" style="61" customWidth="1"/>
    <col min="9481" max="9481" width="16" style="61" customWidth="1"/>
    <col min="9482" max="9482" width="9.140625" style="61"/>
    <col min="9483" max="9483" width="10" style="61" bestFit="1" customWidth="1"/>
    <col min="9484" max="9728" width="9.140625" style="61"/>
    <col min="9729" max="9729" width="7.28515625" style="61" customWidth="1"/>
    <col min="9730" max="9730" width="8" style="61" customWidth="1"/>
    <col min="9731" max="9731" width="7.7109375" style="61" customWidth="1"/>
    <col min="9732" max="9732" width="35.5703125" style="61" customWidth="1"/>
    <col min="9733" max="9733" width="13.140625" style="61" customWidth="1"/>
    <col min="9734" max="9734" width="15.140625" style="61" customWidth="1"/>
    <col min="9735" max="9735" width="11.42578125" style="61" customWidth="1"/>
    <col min="9736" max="9736" width="12.7109375" style="61" customWidth="1"/>
    <col min="9737" max="9737" width="16" style="61" customWidth="1"/>
    <col min="9738" max="9738" width="9.140625" style="61"/>
    <col min="9739" max="9739" width="10" style="61" bestFit="1" customWidth="1"/>
    <col min="9740" max="9984" width="9.140625" style="61"/>
    <col min="9985" max="9985" width="7.28515625" style="61" customWidth="1"/>
    <col min="9986" max="9986" width="8" style="61" customWidth="1"/>
    <col min="9987" max="9987" width="7.7109375" style="61" customWidth="1"/>
    <col min="9988" max="9988" width="35.5703125" style="61" customWidth="1"/>
    <col min="9989" max="9989" width="13.140625" style="61" customWidth="1"/>
    <col min="9990" max="9990" width="15.140625" style="61" customWidth="1"/>
    <col min="9991" max="9991" width="11.42578125" style="61" customWidth="1"/>
    <col min="9992" max="9992" width="12.7109375" style="61" customWidth="1"/>
    <col min="9993" max="9993" width="16" style="61" customWidth="1"/>
    <col min="9994" max="9994" width="9.140625" style="61"/>
    <col min="9995" max="9995" width="10" style="61" bestFit="1" customWidth="1"/>
    <col min="9996" max="10240" width="9.140625" style="61"/>
    <col min="10241" max="10241" width="7.28515625" style="61" customWidth="1"/>
    <col min="10242" max="10242" width="8" style="61" customWidth="1"/>
    <col min="10243" max="10243" width="7.7109375" style="61" customWidth="1"/>
    <col min="10244" max="10244" width="35.5703125" style="61" customWidth="1"/>
    <col min="10245" max="10245" width="13.140625" style="61" customWidth="1"/>
    <col min="10246" max="10246" width="15.140625" style="61" customWidth="1"/>
    <col min="10247" max="10247" width="11.42578125" style="61" customWidth="1"/>
    <col min="10248" max="10248" width="12.7109375" style="61" customWidth="1"/>
    <col min="10249" max="10249" width="16" style="61" customWidth="1"/>
    <col min="10250" max="10250" width="9.140625" style="61"/>
    <col min="10251" max="10251" width="10" style="61" bestFit="1" customWidth="1"/>
    <col min="10252" max="10496" width="9.140625" style="61"/>
    <col min="10497" max="10497" width="7.28515625" style="61" customWidth="1"/>
    <col min="10498" max="10498" width="8" style="61" customWidth="1"/>
    <col min="10499" max="10499" width="7.7109375" style="61" customWidth="1"/>
    <col min="10500" max="10500" width="35.5703125" style="61" customWidth="1"/>
    <col min="10501" max="10501" width="13.140625" style="61" customWidth="1"/>
    <col min="10502" max="10502" width="15.140625" style="61" customWidth="1"/>
    <col min="10503" max="10503" width="11.42578125" style="61" customWidth="1"/>
    <col min="10504" max="10504" width="12.7109375" style="61" customWidth="1"/>
    <col min="10505" max="10505" width="16" style="61" customWidth="1"/>
    <col min="10506" max="10506" width="9.140625" style="61"/>
    <col min="10507" max="10507" width="10" style="61" bestFit="1" customWidth="1"/>
    <col min="10508" max="10752" width="9.140625" style="61"/>
    <col min="10753" max="10753" width="7.28515625" style="61" customWidth="1"/>
    <col min="10754" max="10754" width="8" style="61" customWidth="1"/>
    <col min="10755" max="10755" width="7.7109375" style="61" customWidth="1"/>
    <col min="10756" max="10756" width="35.5703125" style="61" customWidth="1"/>
    <col min="10757" max="10757" width="13.140625" style="61" customWidth="1"/>
    <col min="10758" max="10758" width="15.140625" style="61" customWidth="1"/>
    <col min="10759" max="10759" width="11.42578125" style="61" customWidth="1"/>
    <col min="10760" max="10760" width="12.7109375" style="61" customWidth="1"/>
    <col min="10761" max="10761" width="16" style="61" customWidth="1"/>
    <col min="10762" max="10762" width="9.140625" style="61"/>
    <col min="10763" max="10763" width="10" style="61" bestFit="1" customWidth="1"/>
    <col min="10764" max="11008" width="9.140625" style="61"/>
    <col min="11009" max="11009" width="7.28515625" style="61" customWidth="1"/>
    <col min="11010" max="11010" width="8" style="61" customWidth="1"/>
    <col min="11011" max="11011" width="7.7109375" style="61" customWidth="1"/>
    <col min="11012" max="11012" width="35.5703125" style="61" customWidth="1"/>
    <col min="11013" max="11013" width="13.140625" style="61" customWidth="1"/>
    <col min="11014" max="11014" width="15.140625" style="61" customWidth="1"/>
    <col min="11015" max="11015" width="11.42578125" style="61" customWidth="1"/>
    <col min="11016" max="11016" width="12.7109375" style="61" customWidth="1"/>
    <col min="11017" max="11017" width="16" style="61" customWidth="1"/>
    <col min="11018" max="11018" width="9.140625" style="61"/>
    <col min="11019" max="11019" width="10" style="61" bestFit="1" customWidth="1"/>
    <col min="11020" max="11264" width="9.140625" style="61"/>
    <col min="11265" max="11265" width="7.28515625" style="61" customWidth="1"/>
    <col min="11266" max="11266" width="8" style="61" customWidth="1"/>
    <col min="11267" max="11267" width="7.7109375" style="61" customWidth="1"/>
    <col min="11268" max="11268" width="35.5703125" style="61" customWidth="1"/>
    <col min="11269" max="11269" width="13.140625" style="61" customWidth="1"/>
    <col min="11270" max="11270" width="15.140625" style="61" customWidth="1"/>
    <col min="11271" max="11271" width="11.42578125" style="61" customWidth="1"/>
    <col min="11272" max="11272" width="12.7109375" style="61" customWidth="1"/>
    <col min="11273" max="11273" width="16" style="61" customWidth="1"/>
    <col min="11274" max="11274" width="9.140625" style="61"/>
    <col min="11275" max="11275" width="10" style="61" bestFit="1" customWidth="1"/>
    <col min="11276" max="11520" width="9.140625" style="61"/>
    <col min="11521" max="11521" width="7.28515625" style="61" customWidth="1"/>
    <col min="11522" max="11522" width="8" style="61" customWidth="1"/>
    <col min="11523" max="11523" width="7.7109375" style="61" customWidth="1"/>
    <col min="11524" max="11524" width="35.5703125" style="61" customWidth="1"/>
    <col min="11525" max="11525" width="13.140625" style="61" customWidth="1"/>
    <col min="11526" max="11526" width="15.140625" style="61" customWidth="1"/>
    <col min="11527" max="11527" width="11.42578125" style="61" customWidth="1"/>
    <col min="11528" max="11528" width="12.7109375" style="61" customWidth="1"/>
    <col min="11529" max="11529" width="16" style="61" customWidth="1"/>
    <col min="11530" max="11530" width="9.140625" style="61"/>
    <col min="11531" max="11531" width="10" style="61" bestFit="1" customWidth="1"/>
    <col min="11532" max="11776" width="9.140625" style="61"/>
    <col min="11777" max="11777" width="7.28515625" style="61" customWidth="1"/>
    <col min="11778" max="11778" width="8" style="61" customWidth="1"/>
    <col min="11779" max="11779" width="7.7109375" style="61" customWidth="1"/>
    <col min="11780" max="11780" width="35.5703125" style="61" customWidth="1"/>
    <col min="11781" max="11781" width="13.140625" style="61" customWidth="1"/>
    <col min="11782" max="11782" width="15.140625" style="61" customWidth="1"/>
    <col min="11783" max="11783" width="11.42578125" style="61" customWidth="1"/>
    <col min="11784" max="11784" width="12.7109375" style="61" customWidth="1"/>
    <col min="11785" max="11785" width="16" style="61" customWidth="1"/>
    <col min="11786" max="11786" width="9.140625" style="61"/>
    <col min="11787" max="11787" width="10" style="61" bestFit="1" customWidth="1"/>
    <col min="11788" max="12032" width="9.140625" style="61"/>
    <col min="12033" max="12033" width="7.28515625" style="61" customWidth="1"/>
    <col min="12034" max="12034" width="8" style="61" customWidth="1"/>
    <col min="12035" max="12035" width="7.7109375" style="61" customWidth="1"/>
    <col min="12036" max="12036" width="35.5703125" style="61" customWidth="1"/>
    <col min="12037" max="12037" width="13.140625" style="61" customWidth="1"/>
    <col min="12038" max="12038" width="15.140625" style="61" customWidth="1"/>
    <col min="12039" max="12039" width="11.42578125" style="61" customWidth="1"/>
    <col min="12040" max="12040" width="12.7109375" style="61" customWidth="1"/>
    <col min="12041" max="12041" width="16" style="61" customWidth="1"/>
    <col min="12042" max="12042" width="9.140625" style="61"/>
    <col min="12043" max="12043" width="10" style="61" bestFit="1" customWidth="1"/>
    <col min="12044" max="12288" width="9.140625" style="61"/>
    <col min="12289" max="12289" width="7.28515625" style="61" customWidth="1"/>
    <col min="12290" max="12290" width="8" style="61" customWidth="1"/>
    <col min="12291" max="12291" width="7.7109375" style="61" customWidth="1"/>
    <col min="12292" max="12292" width="35.5703125" style="61" customWidth="1"/>
    <col min="12293" max="12293" width="13.140625" style="61" customWidth="1"/>
    <col min="12294" max="12294" width="15.140625" style="61" customWidth="1"/>
    <col min="12295" max="12295" width="11.42578125" style="61" customWidth="1"/>
    <col min="12296" max="12296" width="12.7109375" style="61" customWidth="1"/>
    <col min="12297" max="12297" width="16" style="61" customWidth="1"/>
    <col min="12298" max="12298" width="9.140625" style="61"/>
    <col min="12299" max="12299" width="10" style="61" bestFit="1" customWidth="1"/>
    <col min="12300" max="12544" width="9.140625" style="61"/>
    <col min="12545" max="12545" width="7.28515625" style="61" customWidth="1"/>
    <col min="12546" max="12546" width="8" style="61" customWidth="1"/>
    <col min="12547" max="12547" width="7.7109375" style="61" customWidth="1"/>
    <col min="12548" max="12548" width="35.5703125" style="61" customWidth="1"/>
    <col min="12549" max="12549" width="13.140625" style="61" customWidth="1"/>
    <col min="12550" max="12550" width="15.140625" style="61" customWidth="1"/>
    <col min="12551" max="12551" width="11.42578125" style="61" customWidth="1"/>
    <col min="12552" max="12552" width="12.7109375" style="61" customWidth="1"/>
    <col min="12553" max="12553" width="16" style="61" customWidth="1"/>
    <col min="12554" max="12554" width="9.140625" style="61"/>
    <col min="12555" max="12555" width="10" style="61" bestFit="1" customWidth="1"/>
    <col min="12556" max="12800" width="9.140625" style="61"/>
    <col min="12801" max="12801" width="7.28515625" style="61" customWidth="1"/>
    <col min="12802" max="12802" width="8" style="61" customWidth="1"/>
    <col min="12803" max="12803" width="7.7109375" style="61" customWidth="1"/>
    <col min="12804" max="12804" width="35.5703125" style="61" customWidth="1"/>
    <col min="12805" max="12805" width="13.140625" style="61" customWidth="1"/>
    <col min="12806" max="12806" width="15.140625" style="61" customWidth="1"/>
    <col min="12807" max="12807" width="11.42578125" style="61" customWidth="1"/>
    <col min="12808" max="12808" width="12.7109375" style="61" customWidth="1"/>
    <col min="12809" max="12809" width="16" style="61" customWidth="1"/>
    <col min="12810" max="12810" width="9.140625" style="61"/>
    <col min="12811" max="12811" width="10" style="61" bestFit="1" customWidth="1"/>
    <col min="12812" max="13056" width="9.140625" style="61"/>
    <col min="13057" max="13057" width="7.28515625" style="61" customWidth="1"/>
    <col min="13058" max="13058" width="8" style="61" customWidth="1"/>
    <col min="13059" max="13059" width="7.7109375" style="61" customWidth="1"/>
    <col min="13060" max="13060" width="35.5703125" style="61" customWidth="1"/>
    <col min="13061" max="13061" width="13.140625" style="61" customWidth="1"/>
    <col min="13062" max="13062" width="15.140625" style="61" customWidth="1"/>
    <col min="13063" max="13063" width="11.42578125" style="61" customWidth="1"/>
    <col min="13064" max="13064" width="12.7109375" style="61" customWidth="1"/>
    <col min="13065" max="13065" width="16" style="61" customWidth="1"/>
    <col min="13066" max="13066" width="9.140625" style="61"/>
    <col min="13067" max="13067" width="10" style="61" bestFit="1" customWidth="1"/>
    <col min="13068" max="13312" width="9.140625" style="61"/>
    <col min="13313" max="13313" width="7.28515625" style="61" customWidth="1"/>
    <col min="13314" max="13314" width="8" style="61" customWidth="1"/>
    <col min="13315" max="13315" width="7.7109375" style="61" customWidth="1"/>
    <col min="13316" max="13316" width="35.5703125" style="61" customWidth="1"/>
    <col min="13317" max="13317" width="13.140625" style="61" customWidth="1"/>
    <col min="13318" max="13318" width="15.140625" style="61" customWidth="1"/>
    <col min="13319" max="13319" width="11.42578125" style="61" customWidth="1"/>
    <col min="13320" max="13320" width="12.7109375" style="61" customWidth="1"/>
    <col min="13321" max="13321" width="16" style="61" customWidth="1"/>
    <col min="13322" max="13322" width="9.140625" style="61"/>
    <col min="13323" max="13323" width="10" style="61" bestFit="1" customWidth="1"/>
    <col min="13324" max="13568" width="9.140625" style="61"/>
    <col min="13569" max="13569" width="7.28515625" style="61" customWidth="1"/>
    <col min="13570" max="13570" width="8" style="61" customWidth="1"/>
    <col min="13571" max="13571" width="7.7109375" style="61" customWidth="1"/>
    <col min="13572" max="13572" width="35.5703125" style="61" customWidth="1"/>
    <col min="13573" max="13573" width="13.140625" style="61" customWidth="1"/>
    <col min="13574" max="13574" width="15.140625" style="61" customWidth="1"/>
    <col min="13575" max="13575" width="11.42578125" style="61" customWidth="1"/>
    <col min="13576" max="13576" width="12.7109375" style="61" customWidth="1"/>
    <col min="13577" max="13577" width="16" style="61" customWidth="1"/>
    <col min="13578" max="13578" width="9.140625" style="61"/>
    <col min="13579" max="13579" width="10" style="61" bestFit="1" customWidth="1"/>
    <col min="13580" max="13824" width="9.140625" style="61"/>
    <col min="13825" max="13825" width="7.28515625" style="61" customWidth="1"/>
    <col min="13826" max="13826" width="8" style="61" customWidth="1"/>
    <col min="13827" max="13827" width="7.7109375" style="61" customWidth="1"/>
    <col min="13828" max="13828" width="35.5703125" style="61" customWidth="1"/>
    <col min="13829" max="13829" width="13.140625" style="61" customWidth="1"/>
    <col min="13830" max="13830" width="15.140625" style="61" customWidth="1"/>
    <col min="13831" max="13831" width="11.42578125" style="61" customWidth="1"/>
    <col min="13832" max="13832" width="12.7109375" style="61" customWidth="1"/>
    <col min="13833" max="13833" width="16" style="61" customWidth="1"/>
    <col min="13834" max="13834" width="9.140625" style="61"/>
    <col min="13835" max="13835" width="10" style="61" bestFit="1" customWidth="1"/>
    <col min="13836" max="14080" width="9.140625" style="61"/>
    <col min="14081" max="14081" width="7.28515625" style="61" customWidth="1"/>
    <col min="14082" max="14082" width="8" style="61" customWidth="1"/>
    <col min="14083" max="14083" width="7.7109375" style="61" customWidth="1"/>
    <col min="14084" max="14084" width="35.5703125" style="61" customWidth="1"/>
    <col min="14085" max="14085" width="13.140625" style="61" customWidth="1"/>
    <col min="14086" max="14086" width="15.140625" style="61" customWidth="1"/>
    <col min="14087" max="14087" width="11.42578125" style="61" customWidth="1"/>
    <col min="14088" max="14088" width="12.7109375" style="61" customWidth="1"/>
    <col min="14089" max="14089" width="16" style="61" customWidth="1"/>
    <col min="14090" max="14090" width="9.140625" style="61"/>
    <col min="14091" max="14091" width="10" style="61" bestFit="1" customWidth="1"/>
    <col min="14092" max="14336" width="9.140625" style="61"/>
    <col min="14337" max="14337" width="7.28515625" style="61" customWidth="1"/>
    <col min="14338" max="14338" width="8" style="61" customWidth="1"/>
    <col min="14339" max="14339" width="7.7109375" style="61" customWidth="1"/>
    <col min="14340" max="14340" width="35.5703125" style="61" customWidth="1"/>
    <col min="14341" max="14341" width="13.140625" style="61" customWidth="1"/>
    <col min="14342" max="14342" width="15.140625" style="61" customWidth="1"/>
    <col min="14343" max="14343" width="11.42578125" style="61" customWidth="1"/>
    <col min="14344" max="14344" width="12.7109375" style="61" customWidth="1"/>
    <col min="14345" max="14345" width="16" style="61" customWidth="1"/>
    <col min="14346" max="14346" width="9.140625" style="61"/>
    <col min="14347" max="14347" width="10" style="61" bestFit="1" customWidth="1"/>
    <col min="14348" max="14592" width="9.140625" style="61"/>
    <col min="14593" max="14593" width="7.28515625" style="61" customWidth="1"/>
    <col min="14594" max="14594" width="8" style="61" customWidth="1"/>
    <col min="14595" max="14595" width="7.7109375" style="61" customWidth="1"/>
    <col min="14596" max="14596" width="35.5703125" style="61" customWidth="1"/>
    <col min="14597" max="14597" width="13.140625" style="61" customWidth="1"/>
    <col min="14598" max="14598" width="15.140625" style="61" customWidth="1"/>
    <col min="14599" max="14599" width="11.42578125" style="61" customWidth="1"/>
    <col min="14600" max="14600" width="12.7109375" style="61" customWidth="1"/>
    <col min="14601" max="14601" width="16" style="61" customWidth="1"/>
    <col min="14602" max="14602" width="9.140625" style="61"/>
    <col min="14603" max="14603" width="10" style="61" bestFit="1" customWidth="1"/>
    <col min="14604" max="14848" width="9.140625" style="61"/>
    <col min="14849" max="14849" width="7.28515625" style="61" customWidth="1"/>
    <col min="14850" max="14850" width="8" style="61" customWidth="1"/>
    <col min="14851" max="14851" width="7.7109375" style="61" customWidth="1"/>
    <col min="14852" max="14852" width="35.5703125" style="61" customWidth="1"/>
    <col min="14853" max="14853" width="13.140625" style="61" customWidth="1"/>
    <col min="14854" max="14854" width="15.140625" style="61" customWidth="1"/>
    <col min="14855" max="14855" width="11.42578125" style="61" customWidth="1"/>
    <col min="14856" max="14856" width="12.7109375" style="61" customWidth="1"/>
    <col min="14857" max="14857" width="16" style="61" customWidth="1"/>
    <col min="14858" max="14858" width="9.140625" style="61"/>
    <col min="14859" max="14859" width="10" style="61" bestFit="1" customWidth="1"/>
    <col min="14860" max="15104" width="9.140625" style="61"/>
    <col min="15105" max="15105" width="7.28515625" style="61" customWidth="1"/>
    <col min="15106" max="15106" width="8" style="61" customWidth="1"/>
    <col min="15107" max="15107" width="7.7109375" style="61" customWidth="1"/>
    <col min="15108" max="15108" width="35.5703125" style="61" customWidth="1"/>
    <col min="15109" max="15109" width="13.140625" style="61" customWidth="1"/>
    <col min="15110" max="15110" width="15.140625" style="61" customWidth="1"/>
    <col min="15111" max="15111" width="11.42578125" style="61" customWidth="1"/>
    <col min="15112" max="15112" width="12.7109375" style="61" customWidth="1"/>
    <col min="15113" max="15113" width="16" style="61" customWidth="1"/>
    <col min="15114" max="15114" width="9.140625" style="61"/>
    <col min="15115" max="15115" width="10" style="61" bestFit="1" customWidth="1"/>
    <col min="15116" max="15360" width="9.140625" style="61"/>
    <col min="15361" max="15361" width="7.28515625" style="61" customWidth="1"/>
    <col min="15362" max="15362" width="8" style="61" customWidth="1"/>
    <col min="15363" max="15363" width="7.7109375" style="61" customWidth="1"/>
    <col min="15364" max="15364" width="35.5703125" style="61" customWidth="1"/>
    <col min="15365" max="15365" width="13.140625" style="61" customWidth="1"/>
    <col min="15366" max="15366" width="15.140625" style="61" customWidth="1"/>
    <col min="15367" max="15367" width="11.42578125" style="61" customWidth="1"/>
    <col min="15368" max="15368" width="12.7109375" style="61" customWidth="1"/>
    <col min="15369" max="15369" width="16" style="61" customWidth="1"/>
    <col min="15370" max="15370" width="9.140625" style="61"/>
    <col min="15371" max="15371" width="10" style="61" bestFit="1" customWidth="1"/>
    <col min="15372" max="15616" width="9.140625" style="61"/>
    <col min="15617" max="15617" width="7.28515625" style="61" customWidth="1"/>
    <col min="15618" max="15618" width="8" style="61" customWidth="1"/>
    <col min="15619" max="15619" width="7.7109375" style="61" customWidth="1"/>
    <col min="15620" max="15620" width="35.5703125" style="61" customWidth="1"/>
    <col min="15621" max="15621" width="13.140625" style="61" customWidth="1"/>
    <col min="15622" max="15622" width="15.140625" style="61" customWidth="1"/>
    <col min="15623" max="15623" width="11.42578125" style="61" customWidth="1"/>
    <col min="15624" max="15624" width="12.7109375" style="61" customWidth="1"/>
    <col min="15625" max="15625" width="16" style="61" customWidth="1"/>
    <col min="15626" max="15626" width="9.140625" style="61"/>
    <col min="15627" max="15627" width="10" style="61" bestFit="1" customWidth="1"/>
    <col min="15628" max="15872" width="9.140625" style="61"/>
    <col min="15873" max="15873" width="7.28515625" style="61" customWidth="1"/>
    <col min="15874" max="15874" width="8" style="61" customWidth="1"/>
    <col min="15875" max="15875" width="7.7109375" style="61" customWidth="1"/>
    <col min="15876" max="15876" width="35.5703125" style="61" customWidth="1"/>
    <col min="15877" max="15877" width="13.140625" style="61" customWidth="1"/>
    <col min="15878" max="15878" width="15.140625" style="61" customWidth="1"/>
    <col min="15879" max="15879" width="11.42578125" style="61" customWidth="1"/>
    <col min="15880" max="15880" width="12.7109375" style="61" customWidth="1"/>
    <col min="15881" max="15881" width="16" style="61" customWidth="1"/>
    <col min="15882" max="15882" width="9.140625" style="61"/>
    <col min="15883" max="15883" width="10" style="61" bestFit="1" customWidth="1"/>
    <col min="15884" max="16128" width="9.140625" style="61"/>
    <col min="16129" max="16129" width="7.28515625" style="61" customWidth="1"/>
    <col min="16130" max="16130" width="8" style="61" customWidth="1"/>
    <col min="16131" max="16131" width="7.7109375" style="61" customWidth="1"/>
    <col min="16132" max="16132" width="35.5703125" style="61" customWidth="1"/>
    <col min="16133" max="16133" width="13.140625" style="61" customWidth="1"/>
    <col min="16134" max="16134" width="15.140625" style="61" customWidth="1"/>
    <col min="16135" max="16135" width="11.42578125" style="61" customWidth="1"/>
    <col min="16136" max="16136" width="12.7109375" style="61" customWidth="1"/>
    <col min="16137" max="16137" width="16" style="61" customWidth="1"/>
    <col min="16138" max="16138" width="9.140625" style="61"/>
    <col min="16139" max="16139" width="10" style="61" bestFit="1" customWidth="1"/>
    <col min="16140" max="16384" width="9.140625" style="61"/>
  </cols>
  <sheetData>
    <row r="1" spans="1:11" ht="44.25" customHeight="1" x14ac:dyDescent="0.25">
      <c r="G1" s="200" t="s">
        <v>139</v>
      </c>
      <c r="H1" s="200"/>
      <c r="I1" s="200"/>
    </row>
    <row r="2" spans="1:11" ht="15.75" x14ac:dyDescent="0.25">
      <c r="A2" s="212" t="s">
        <v>140</v>
      </c>
      <c r="B2" s="212"/>
      <c r="C2" s="212"/>
      <c r="D2" s="212"/>
      <c r="E2" s="212"/>
      <c r="F2" s="212"/>
      <c r="G2" s="212"/>
      <c r="H2" s="212"/>
      <c r="I2" s="212"/>
    </row>
    <row r="3" spans="1:11" ht="11.25" customHeight="1" x14ac:dyDescent="0.25">
      <c r="A3" s="109"/>
      <c r="B3" s="109"/>
      <c r="C3" s="109"/>
      <c r="D3" s="109"/>
      <c r="E3" s="109"/>
      <c r="F3" s="109"/>
      <c r="G3" s="109"/>
      <c r="H3" s="110"/>
      <c r="I3" s="110"/>
    </row>
    <row r="4" spans="1:11" ht="15" customHeight="1" x14ac:dyDescent="0.25">
      <c r="A4" s="204" t="s">
        <v>98</v>
      </c>
      <c r="B4" s="204" t="s">
        <v>99</v>
      </c>
      <c r="C4" s="204" t="s">
        <v>100</v>
      </c>
      <c r="D4" s="204" t="s">
        <v>141</v>
      </c>
      <c r="E4" s="213" t="s">
        <v>102</v>
      </c>
      <c r="F4" s="215" t="s">
        <v>142</v>
      </c>
      <c r="G4" s="215" t="s">
        <v>104</v>
      </c>
      <c r="H4" s="207" t="s">
        <v>143</v>
      </c>
      <c r="I4" s="207" t="s">
        <v>144</v>
      </c>
    </row>
    <row r="5" spans="1:11" x14ac:dyDescent="0.25">
      <c r="A5" s="204"/>
      <c r="B5" s="204"/>
      <c r="C5" s="204"/>
      <c r="D5" s="204"/>
      <c r="E5" s="214"/>
      <c r="F5" s="216"/>
      <c r="G5" s="216"/>
      <c r="H5" s="208"/>
      <c r="I5" s="208"/>
    </row>
    <row r="6" spans="1:11" ht="13.5" customHeight="1" x14ac:dyDescent="0.25">
      <c r="A6" s="204"/>
      <c r="B6" s="204"/>
      <c r="C6" s="204"/>
      <c r="D6" s="204"/>
      <c r="E6" s="214"/>
      <c r="F6" s="216"/>
      <c r="G6" s="216"/>
      <c r="H6" s="208"/>
      <c r="I6" s="208"/>
    </row>
    <row r="7" spans="1:11" x14ac:dyDescent="0.25">
      <c r="A7" s="111">
        <v>1</v>
      </c>
      <c r="B7" s="111">
        <v>2</v>
      </c>
      <c r="C7" s="111">
        <v>3</v>
      </c>
      <c r="D7" s="111">
        <v>4</v>
      </c>
      <c r="E7" s="112">
        <v>5</v>
      </c>
      <c r="F7" s="112">
        <v>6</v>
      </c>
      <c r="G7" s="112">
        <v>7</v>
      </c>
      <c r="H7" s="113">
        <v>8</v>
      </c>
      <c r="I7" s="113">
        <v>9</v>
      </c>
    </row>
    <row r="8" spans="1:11" x14ac:dyDescent="0.25">
      <c r="A8" s="114">
        <v>852</v>
      </c>
      <c r="B8" s="114" t="s">
        <v>107</v>
      </c>
      <c r="C8" s="114" t="s">
        <v>107</v>
      </c>
      <c r="D8" s="115" t="s">
        <v>116</v>
      </c>
      <c r="E8" s="116">
        <f>E9+E14+E33</f>
        <v>914617.39999999991</v>
      </c>
      <c r="F8" s="116">
        <f>F9+F14+F33</f>
        <v>594232.62</v>
      </c>
      <c r="G8" s="117">
        <f>F8/E8</f>
        <v>0.64970622688787694</v>
      </c>
      <c r="H8" s="116">
        <f>H9+H14+H33</f>
        <v>9779.48</v>
      </c>
      <c r="I8" s="116">
        <f>I9+I14+I33</f>
        <v>0</v>
      </c>
    </row>
    <row r="9" spans="1:11" ht="25.5" x14ac:dyDescent="0.25">
      <c r="A9" s="118">
        <v>852</v>
      </c>
      <c r="B9" s="118">
        <v>85205</v>
      </c>
      <c r="C9" s="119" t="s">
        <v>107</v>
      </c>
      <c r="D9" s="120" t="s">
        <v>145</v>
      </c>
      <c r="E9" s="121">
        <f>SUM(E10:E13)</f>
        <v>16920</v>
      </c>
      <c r="F9" s="121">
        <f>SUM(F10:F13)</f>
        <v>8541.24</v>
      </c>
      <c r="G9" s="122">
        <f>F9/E9</f>
        <v>0.50480141843971627</v>
      </c>
      <c r="H9" s="121">
        <f>SUM(H10:H13)</f>
        <v>0</v>
      </c>
      <c r="I9" s="121">
        <f>SUM(I10:I13)</f>
        <v>0</v>
      </c>
    </row>
    <row r="10" spans="1:11" x14ac:dyDescent="0.25">
      <c r="A10" s="123">
        <v>852</v>
      </c>
      <c r="B10" s="123">
        <v>85205</v>
      </c>
      <c r="C10" s="123">
        <v>4170</v>
      </c>
      <c r="D10" s="124" t="s">
        <v>146</v>
      </c>
      <c r="E10" s="125">
        <v>1000</v>
      </c>
      <c r="F10" s="125">
        <v>0</v>
      </c>
      <c r="G10" s="126">
        <f>F10/E10</f>
        <v>0</v>
      </c>
      <c r="H10" s="125">
        <v>0</v>
      </c>
      <c r="I10" s="125">
        <v>0</v>
      </c>
    </row>
    <row r="11" spans="1:11" x14ac:dyDescent="0.25">
      <c r="A11" s="123">
        <v>852</v>
      </c>
      <c r="B11" s="123">
        <v>85205</v>
      </c>
      <c r="C11" s="123">
        <v>4210</v>
      </c>
      <c r="D11" s="124" t="s">
        <v>147</v>
      </c>
      <c r="E11" s="125">
        <v>3000</v>
      </c>
      <c r="F11" s="125">
        <v>42.83</v>
      </c>
      <c r="G11" s="126">
        <f>F11/E11</f>
        <v>1.4276666666666667E-2</v>
      </c>
      <c r="H11" s="125">
        <v>0</v>
      </c>
      <c r="I11" s="125">
        <v>0</v>
      </c>
    </row>
    <row r="12" spans="1:11" x14ac:dyDescent="0.25">
      <c r="A12" s="123">
        <v>852</v>
      </c>
      <c r="B12" s="123">
        <v>85205</v>
      </c>
      <c r="C12" s="123">
        <v>4220</v>
      </c>
      <c r="D12" s="124" t="s">
        <v>148</v>
      </c>
      <c r="E12" s="125">
        <v>2000</v>
      </c>
      <c r="F12" s="125">
        <v>656.81</v>
      </c>
      <c r="G12" s="126">
        <f t="shared" ref="G12:G32" si="0">F12/E12</f>
        <v>0.32840499999999995</v>
      </c>
      <c r="H12" s="125">
        <v>0</v>
      </c>
      <c r="I12" s="125">
        <v>0</v>
      </c>
    </row>
    <row r="13" spans="1:11" x14ac:dyDescent="0.25">
      <c r="A13" s="123">
        <v>852</v>
      </c>
      <c r="B13" s="123">
        <v>85205</v>
      </c>
      <c r="C13" s="123">
        <v>4300</v>
      </c>
      <c r="D13" s="124" t="s">
        <v>149</v>
      </c>
      <c r="E13" s="125">
        <v>10920</v>
      </c>
      <c r="F13" s="125">
        <v>7841.6</v>
      </c>
      <c r="G13" s="126">
        <f t="shared" si="0"/>
        <v>0.71809523809523812</v>
      </c>
      <c r="H13" s="125">
        <v>0</v>
      </c>
      <c r="I13" s="125">
        <v>0</v>
      </c>
    </row>
    <row r="14" spans="1:11" x14ac:dyDescent="0.25">
      <c r="A14" s="118">
        <v>852</v>
      </c>
      <c r="B14" s="118">
        <v>85218</v>
      </c>
      <c r="C14" s="118" t="s">
        <v>107</v>
      </c>
      <c r="D14" s="127" t="s">
        <v>126</v>
      </c>
      <c r="E14" s="121">
        <f>SUM(E15:E32)-E21</f>
        <v>753422.39999999991</v>
      </c>
      <c r="F14" s="121">
        <f>F21+F15+SUM(F22:F32)</f>
        <v>512531.66</v>
      </c>
      <c r="G14" s="122">
        <f>F14/E14</f>
        <v>0.68027133252210181</v>
      </c>
      <c r="H14" s="121">
        <f>SUM(H15:H32)</f>
        <v>9212.83</v>
      </c>
      <c r="I14" s="121">
        <f>SUM(I15:I32)</f>
        <v>0</v>
      </c>
    </row>
    <row r="15" spans="1:11" ht="25.5" x14ac:dyDescent="0.25">
      <c r="A15" s="128">
        <v>852</v>
      </c>
      <c r="B15" s="128">
        <v>85218</v>
      </c>
      <c r="C15" s="128">
        <v>3020</v>
      </c>
      <c r="D15" s="129" t="s">
        <v>150</v>
      </c>
      <c r="E15" s="125">
        <v>2000</v>
      </c>
      <c r="F15" s="130">
        <v>0</v>
      </c>
      <c r="G15" s="126">
        <f t="shared" si="0"/>
        <v>0</v>
      </c>
      <c r="H15" s="130">
        <v>0</v>
      </c>
      <c r="I15" s="125">
        <v>0</v>
      </c>
      <c r="K15" s="104"/>
    </row>
    <row r="16" spans="1:11" x14ac:dyDescent="0.25">
      <c r="A16" s="128">
        <v>852</v>
      </c>
      <c r="B16" s="128">
        <v>85218</v>
      </c>
      <c r="C16" s="128">
        <v>4010</v>
      </c>
      <c r="D16" s="131" t="s">
        <v>151</v>
      </c>
      <c r="E16" s="125">
        <v>424448</v>
      </c>
      <c r="F16" s="130">
        <v>314884.08</v>
      </c>
      <c r="G16" s="126">
        <f t="shared" si="0"/>
        <v>0.74186727231604344</v>
      </c>
      <c r="H16" s="130">
        <v>3287.14</v>
      </c>
      <c r="I16" s="125">
        <v>0</v>
      </c>
    </row>
    <row r="17" spans="1:9" x14ac:dyDescent="0.25">
      <c r="A17" s="128">
        <v>852</v>
      </c>
      <c r="B17" s="128">
        <v>85218</v>
      </c>
      <c r="C17" s="128">
        <v>4040</v>
      </c>
      <c r="D17" s="131" t="s">
        <v>152</v>
      </c>
      <c r="E17" s="125">
        <v>42574.89</v>
      </c>
      <c r="F17" s="130">
        <v>42574.89</v>
      </c>
      <c r="G17" s="126">
        <f t="shared" si="0"/>
        <v>1</v>
      </c>
      <c r="H17" s="130">
        <v>0</v>
      </c>
      <c r="I17" s="125">
        <v>0</v>
      </c>
    </row>
    <row r="18" spans="1:9" x14ac:dyDescent="0.25">
      <c r="A18" s="128">
        <v>852</v>
      </c>
      <c r="B18" s="128">
        <v>85218</v>
      </c>
      <c r="C18" s="128">
        <v>4110</v>
      </c>
      <c r="D18" s="131" t="s">
        <v>153</v>
      </c>
      <c r="E18" s="132">
        <v>81395.11</v>
      </c>
      <c r="F18" s="130">
        <v>60033.42</v>
      </c>
      <c r="G18" s="126">
        <f t="shared" si="0"/>
        <v>0.73755560991317537</v>
      </c>
      <c r="H18" s="130">
        <v>85.37</v>
      </c>
      <c r="I18" s="125">
        <v>0</v>
      </c>
    </row>
    <row r="19" spans="1:9" x14ac:dyDescent="0.25">
      <c r="A19" s="128">
        <v>852</v>
      </c>
      <c r="B19" s="128">
        <v>85218</v>
      </c>
      <c r="C19" s="128">
        <v>4120</v>
      </c>
      <c r="D19" s="131" t="s">
        <v>154</v>
      </c>
      <c r="E19" s="132">
        <v>10895</v>
      </c>
      <c r="F19" s="130">
        <v>7650.04</v>
      </c>
      <c r="G19" s="126">
        <f t="shared" si="0"/>
        <v>0.70216062413951352</v>
      </c>
      <c r="H19" s="130">
        <v>0</v>
      </c>
      <c r="I19" s="125">
        <v>0</v>
      </c>
    </row>
    <row r="20" spans="1:9" x14ac:dyDescent="0.25">
      <c r="A20" s="128">
        <v>852</v>
      </c>
      <c r="B20" s="128">
        <v>85218</v>
      </c>
      <c r="C20" s="128">
        <v>4170</v>
      </c>
      <c r="D20" s="129" t="s">
        <v>146</v>
      </c>
      <c r="E20" s="132">
        <v>23000</v>
      </c>
      <c r="F20" s="130">
        <v>1750.23</v>
      </c>
      <c r="G20" s="126">
        <f t="shared" si="0"/>
        <v>7.6096956521739131E-2</v>
      </c>
      <c r="H20" s="130">
        <v>0</v>
      </c>
      <c r="I20" s="125">
        <v>0</v>
      </c>
    </row>
    <row r="21" spans="1:9" x14ac:dyDescent="0.25">
      <c r="A21" s="128"/>
      <c r="B21" s="128"/>
      <c r="C21" s="128"/>
      <c r="D21" s="133" t="s">
        <v>155</v>
      </c>
      <c r="E21" s="134">
        <f>SUM(E16:E20)</f>
        <v>582313</v>
      </c>
      <c r="F21" s="134">
        <f>SUM(F16:F20)</f>
        <v>426892.66</v>
      </c>
      <c r="G21" s="135">
        <f t="shared" si="0"/>
        <v>0.73309828219531414</v>
      </c>
      <c r="H21" s="130"/>
      <c r="I21" s="125"/>
    </row>
    <row r="22" spans="1:9" x14ac:dyDescent="0.25">
      <c r="A22" s="128">
        <v>852</v>
      </c>
      <c r="B22" s="128">
        <v>85218</v>
      </c>
      <c r="C22" s="128">
        <v>4210</v>
      </c>
      <c r="D22" s="129" t="s">
        <v>147</v>
      </c>
      <c r="E22" s="132">
        <v>22950</v>
      </c>
      <c r="F22" s="130">
        <v>5214.97</v>
      </c>
      <c r="G22" s="126">
        <f t="shared" si="0"/>
        <v>0.2272318082788671</v>
      </c>
      <c r="H22" s="130">
        <v>732.95</v>
      </c>
      <c r="I22" s="125">
        <v>0</v>
      </c>
    </row>
    <row r="23" spans="1:9" x14ac:dyDescent="0.25">
      <c r="A23" s="128">
        <v>852</v>
      </c>
      <c r="B23" s="128">
        <v>85218</v>
      </c>
      <c r="C23" s="128">
        <v>4280</v>
      </c>
      <c r="D23" s="129" t="s">
        <v>156</v>
      </c>
      <c r="E23" s="132">
        <v>1350</v>
      </c>
      <c r="F23" s="130">
        <v>300</v>
      </c>
      <c r="G23" s="126">
        <f t="shared" si="0"/>
        <v>0.22222222222222221</v>
      </c>
      <c r="H23" s="130">
        <v>50</v>
      </c>
      <c r="I23" s="125">
        <v>0</v>
      </c>
    </row>
    <row r="24" spans="1:9" x14ac:dyDescent="0.25">
      <c r="A24" s="128">
        <v>852</v>
      </c>
      <c r="B24" s="128">
        <v>85218</v>
      </c>
      <c r="C24" s="128">
        <v>4300</v>
      </c>
      <c r="D24" s="129" t="s">
        <v>149</v>
      </c>
      <c r="E24" s="132">
        <v>92324.4</v>
      </c>
      <c r="F24" s="130">
        <v>41245.599999999999</v>
      </c>
      <c r="G24" s="126">
        <f t="shared" si="0"/>
        <v>0.4467464722218612</v>
      </c>
      <c r="H24" s="130">
        <v>4641.75</v>
      </c>
      <c r="I24" s="125">
        <v>0</v>
      </c>
    </row>
    <row r="25" spans="1:9" ht="25.5" x14ac:dyDescent="0.25">
      <c r="A25" s="128">
        <v>852</v>
      </c>
      <c r="B25" s="128">
        <v>85218</v>
      </c>
      <c r="C25" s="128">
        <v>4360</v>
      </c>
      <c r="D25" s="129" t="s">
        <v>157</v>
      </c>
      <c r="E25" s="132">
        <v>10000</v>
      </c>
      <c r="F25" s="130">
        <v>4205.12</v>
      </c>
      <c r="G25" s="126">
        <f t="shared" si="0"/>
        <v>0.420512</v>
      </c>
      <c r="H25" s="130">
        <v>0</v>
      </c>
      <c r="I25" s="125">
        <v>0</v>
      </c>
    </row>
    <row r="26" spans="1:9" x14ac:dyDescent="0.25">
      <c r="A26" s="128">
        <v>852</v>
      </c>
      <c r="B26" s="128">
        <v>85218</v>
      </c>
      <c r="C26" s="128">
        <v>4410</v>
      </c>
      <c r="D26" s="129" t="s">
        <v>158</v>
      </c>
      <c r="E26" s="132">
        <v>3200</v>
      </c>
      <c r="F26" s="130">
        <v>767.2</v>
      </c>
      <c r="G26" s="126">
        <f t="shared" si="0"/>
        <v>0.23975000000000002</v>
      </c>
      <c r="H26" s="130">
        <v>86.62</v>
      </c>
      <c r="I26" s="125">
        <v>0</v>
      </c>
    </row>
    <row r="27" spans="1:9" x14ac:dyDescent="0.25">
      <c r="A27" s="128">
        <v>852</v>
      </c>
      <c r="B27" s="128">
        <v>85218</v>
      </c>
      <c r="C27" s="128">
        <v>4430</v>
      </c>
      <c r="D27" s="131" t="s">
        <v>159</v>
      </c>
      <c r="E27" s="132">
        <v>300</v>
      </c>
      <c r="F27" s="130">
        <v>0</v>
      </c>
      <c r="G27" s="126">
        <f t="shared" si="0"/>
        <v>0</v>
      </c>
      <c r="H27" s="130">
        <v>0</v>
      </c>
      <c r="I27" s="125">
        <v>0</v>
      </c>
    </row>
    <row r="28" spans="1:9" ht="25.5" x14ac:dyDescent="0.25">
      <c r="A28" s="128">
        <v>852</v>
      </c>
      <c r="B28" s="128">
        <v>85218</v>
      </c>
      <c r="C28" s="128">
        <v>4440</v>
      </c>
      <c r="D28" s="129" t="s">
        <v>160</v>
      </c>
      <c r="E28" s="132">
        <v>15019</v>
      </c>
      <c r="F28" s="130">
        <v>12202.93</v>
      </c>
      <c r="G28" s="126">
        <f t="shared" si="0"/>
        <v>0.81249950063253218</v>
      </c>
      <c r="H28" s="130">
        <v>0</v>
      </c>
      <c r="I28" s="125">
        <v>0</v>
      </c>
    </row>
    <row r="29" spans="1:9" x14ac:dyDescent="0.25">
      <c r="A29" s="128">
        <v>852</v>
      </c>
      <c r="B29" s="128">
        <v>85218</v>
      </c>
      <c r="C29" s="128">
        <v>4480</v>
      </c>
      <c r="D29" s="129" t="s">
        <v>161</v>
      </c>
      <c r="E29" s="132">
        <v>416</v>
      </c>
      <c r="F29" s="130">
        <v>208.2</v>
      </c>
      <c r="G29" s="126">
        <f t="shared" si="0"/>
        <v>0.50048076923076923</v>
      </c>
      <c r="H29" s="130">
        <v>0</v>
      </c>
      <c r="I29" s="125">
        <v>0</v>
      </c>
    </row>
    <row r="30" spans="1:9" ht="25.5" x14ac:dyDescent="0.25">
      <c r="A30" s="128">
        <v>852</v>
      </c>
      <c r="B30" s="128">
        <v>85218</v>
      </c>
      <c r="C30" s="128">
        <v>4610</v>
      </c>
      <c r="D30" s="129" t="s">
        <v>162</v>
      </c>
      <c r="E30" s="132">
        <v>200</v>
      </c>
      <c r="F30" s="130">
        <v>47</v>
      </c>
      <c r="G30" s="126">
        <f t="shared" si="0"/>
        <v>0.23499999999999999</v>
      </c>
      <c r="H30" s="130">
        <v>0</v>
      </c>
      <c r="I30" s="125">
        <v>0</v>
      </c>
    </row>
    <row r="31" spans="1:9" ht="25.5" x14ac:dyDescent="0.25">
      <c r="A31" s="128">
        <v>852</v>
      </c>
      <c r="B31" s="128">
        <v>85218</v>
      </c>
      <c r="C31" s="128">
        <v>4700</v>
      </c>
      <c r="D31" s="129" t="s">
        <v>163</v>
      </c>
      <c r="E31" s="132">
        <v>6000</v>
      </c>
      <c r="F31" s="130">
        <v>4121.41</v>
      </c>
      <c r="G31" s="126">
        <f>F31/E31</f>
        <v>0.68690166666666663</v>
      </c>
      <c r="H31" s="130">
        <v>329</v>
      </c>
      <c r="I31" s="125">
        <v>0</v>
      </c>
    </row>
    <row r="32" spans="1:9" ht="25.5" x14ac:dyDescent="0.25">
      <c r="A32" s="128">
        <v>852</v>
      </c>
      <c r="B32" s="128">
        <v>85218</v>
      </c>
      <c r="C32" s="128">
        <v>6060</v>
      </c>
      <c r="D32" s="129" t="s">
        <v>164</v>
      </c>
      <c r="E32" s="132">
        <v>17350</v>
      </c>
      <c r="F32" s="130">
        <v>17326.57</v>
      </c>
      <c r="G32" s="126">
        <f t="shared" si="0"/>
        <v>0.9986495677233429</v>
      </c>
      <c r="H32" s="130">
        <v>0</v>
      </c>
      <c r="I32" s="125">
        <v>0</v>
      </c>
    </row>
    <row r="33" spans="1:9" ht="38.25" x14ac:dyDescent="0.25">
      <c r="A33" s="118">
        <v>852</v>
      </c>
      <c r="B33" s="118">
        <v>85220</v>
      </c>
      <c r="C33" s="118" t="s">
        <v>107</v>
      </c>
      <c r="D33" s="120" t="s">
        <v>165</v>
      </c>
      <c r="E33" s="121">
        <f>E38+SUM(E39:E43)</f>
        <v>144275</v>
      </c>
      <c r="F33" s="121">
        <f>F38+SUM(F39:F43)</f>
        <v>73159.72</v>
      </c>
      <c r="G33" s="122">
        <f>F33/E33</f>
        <v>0.50708521919944549</v>
      </c>
      <c r="H33" s="121">
        <f>SUM(H34:H43)</f>
        <v>566.65</v>
      </c>
      <c r="I33" s="121">
        <f>SUM(I34:I43)</f>
        <v>0</v>
      </c>
    </row>
    <row r="34" spans="1:9" x14ac:dyDescent="0.25">
      <c r="A34" s="128">
        <v>852</v>
      </c>
      <c r="B34" s="128">
        <v>85220</v>
      </c>
      <c r="C34" s="128">
        <v>4010</v>
      </c>
      <c r="D34" s="131" t="s">
        <v>151</v>
      </c>
      <c r="E34" s="132">
        <v>92528.76</v>
      </c>
      <c r="F34" s="130">
        <v>44272.639999999999</v>
      </c>
      <c r="G34" s="126">
        <f t="shared" ref="G34:G43" si="1">F34/E34</f>
        <v>0.47847436840178126</v>
      </c>
      <c r="H34" s="130">
        <v>534</v>
      </c>
      <c r="I34" s="125">
        <v>0</v>
      </c>
    </row>
    <row r="35" spans="1:9" x14ac:dyDescent="0.25">
      <c r="A35" s="128">
        <v>852</v>
      </c>
      <c r="B35" s="128">
        <v>85220</v>
      </c>
      <c r="C35" s="128">
        <v>4040</v>
      </c>
      <c r="D35" s="131" t="s">
        <v>152</v>
      </c>
      <c r="E35" s="132">
        <v>6927.24</v>
      </c>
      <c r="F35" s="130">
        <v>6927.24</v>
      </c>
      <c r="G35" s="126">
        <f t="shared" si="1"/>
        <v>1</v>
      </c>
      <c r="H35" s="130">
        <v>0</v>
      </c>
      <c r="I35" s="125">
        <v>0</v>
      </c>
    </row>
    <row r="36" spans="1:9" x14ac:dyDescent="0.25">
      <c r="A36" s="128">
        <v>852</v>
      </c>
      <c r="B36" s="128">
        <v>85220</v>
      </c>
      <c r="C36" s="128">
        <v>4110</v>
      </c>
      <c r="D36" s="131" t="s">
        <v>153</v>
      </c>
      <c r="E36" s="132">
        <v>17127</v>
      </c>
      <c r="F36" s="130">
        <v>9016.4699999999993</v>
      </c>
      <c r="G36" s="126">
        <f t="shared" si="1"/>
        <v>0.52644771413557534</v>
      </c>
      <c r="H36" s="130">
        <v>0</v>
      </c>
      <c r="I36" s="125">
        <v>0</v>
      </c>
    </row>
    <row r="37" spans="1:9" x14ac:dyDescent="0.25">
      <c r="A37" s="128">
        <v>852</v>
      </c>
      <c r="B37" s="128">
        <v>85220</v>
      </c>
      <c r="C37" s="128">
        <v>4120</v>
      </c>
      <c r="D37" s="131" t="s">
        <v>154</v>
      </c>
      <c r="E37" s="132">
        <v>1196</v>
      </c>
      <c r="F37" s="130">
        <v>571.86</v>
      </c>
      <c r="G37" s="126">
        <f t="shared" si="1"/>
        <v>0.47814381270903011</v>
      </c>
      <c r="H37" s="130">
        <v>0</v>
      </c>
      <c r="I37" s="125">
        <v>0</v>
      </c>
    </row>
    <row r="38" spans="1:9" x14ac:dyDescent="0.25">
      <c r="A38" s="128"/>
      <c r="B38" s="128"/>
      <c r="C38" s="128"/>
      <c r="D38" s="133" t="s">
        <v>155</v>
      </c>
      <c r="E38" s="136">
        <f>SUM(E34:E37)</f>
        <v>117779</v>
      </c>
      <c r="F38" s="136">
        <f>SUM(F34:F37)</f>
        <v>60788.21</v>
      </c>
      <c r="G38" s="135">
        <f t="shared" si="1"/>
        <v>0.5161209553485766</v>
      </c>
      <c r="H38" s="130"/>
      <c r="I38" s="125"/>
    </row>
    <row r="39" spans="1:9" x14ac:dyDescent="0.25">
      <c r="A39" s="128">
        <v>852</v>
      </c>
      <c r="B39" s="128">
        <v>85220</v>
      </c>
      <c r="C39" s="128">
        <v>4260</v>
      </c>
      <c r="D39" s="137" t="s">
        <v>166</v>
      </c>
      <c r="E39" s="136">
        <v>3500</v>
      </c>
      <c r="F39" s="136">
        <v>2134.48</v>
      </c>
      <c r="G39" s="135">
        <f t="shared" si="1"/>
        <v>0.6098514285714286</v>
      </c>
      <c r="H39" s="130">
        <v>26.64</v>
      </c>
      <c r="I39" s="125">
        <v>0</v>
      </c>
    </row>
    <row r="40" spans="1:9" x14ac:dyDescent="0.25">
      <c r="A40" s="128">
        <v>852</v>
      </c>
      <c r="B40" s="128">
        <v>85220</v>
      </c>
      <c r="C40" s="128">
        <v>4300</v>
      </c>
      <c r="D40" s="137" t="s">
        <v>149</v>
      </c>
      <c r="E40" s="136">
        <v>1200</v>
      </c>
      <c r="F40" s="136">
        <v>103.06</v>
      </c>
      <c r="G40" s="135">
        <f t="shared" si="1"/>
        <v>8.5883333333333339E-2</v>
      </c>
      <c r="H40" s="130">
        <v>6.01</v>
      </c>
      <c r="I40" s="125">
        <v>0</v>
      </c>
    </row>
    <row r="41" spans="1:9" ht="25.5" x14ac:dyDescent="0.25">
      <c r="A41" s="128">
        <v>852</v>
      </c>
      <c r="B41" s="128">
        <v>85220</v>
      </c>
      <c r="C41" s="128">
        <v>4400</v>
      </c>
      <c r="D41" s="129" t="s">
        <v>167</v>
      </c>
      <c r="E41" s="132">
        <v>18500</v>
      </c>
      <c r="F41" s="130">
        <v>8036.72</v>
      </c>
      <c r="G41" s="126">
        <f t="shared" si="1"/>
        <v>0.43441729729729733</v>
      </c>
      <c r="H41" s="130">
        <v>0</v>
      </c>
      <c r="I41" s="125">
        <v>0</v>
      </c>
    </row>
    <row r="42" spans="1:9" ht="25.5" x14ac:dyDescent="0.25">
      <c r="A42" s="128">
        <v>852</v>
      </c>
      <c r="B42" s="128">
        <v>85220</v>
      </c>
      <c r="C42" s="128">
        <v>4440</v>
      </c>
      <c r="D42" s="129" t="s">
        <v>160</v>
      </c>
      <c r="E42" s="132">
        <v>2372</v>
      </c>
      <c r="F42" s="130">
        <v>1927.25</v>
      </c>
      <c r="G42" s="126">
        <f>F42/E42</f>
        <v>0.8125</v>
      </c>
      <c r="H42" s="130">
        <v>0</v>
      </c>
      <c r="I42" s="125">
        <v>0</v>
      </c>
    </row>
    <row r="43" spans="1:9" ht="25.5" x14ac:dyDescent="0.25">
      <c r="A43" s="128">
        <v>852</v>
      </c>
      <c r="B43" s="128">
        <v>85220</v>
      </c>
      <c r="C43" s="128">
        <v>4520</v>
      </c>
      <c r="D43" s="129" t="s">
        <v>168</v>
      </c>
      <c r="E43" s="132">
        <v>924</v>
      </c>
      <c r="F43" s="130">
        <v>170</v>
      </c>
      <c r="G43" s="126">
        <f t="shared" si="1"/>
        <v>0.18398268398268397</v>
      </c>
      <c r="H43" s="130">
        <v>0</v>
      </c>
      <c r="I43" s="125">
        <v>0</v>
      </c>
    </row>
    <row r="44" spans="1:9" s="142" customFormat="1" ht="25.5" x14ac:dyDescent="0.25">
      <c r="A44" s="138">
        <v>853</v>
      </c>
      <c r="B44" s="138" t="s">
        <v>107</v>
      </c>
      <c r="C44" s="138" t="s">
        <v>107</v>
      </c>
      <c r="D44" s="139" t="s">
        <v>127</v>
      </c>
      <c r="E44" s="140">
        <f>E47+E57+E45</f>
        <v>1414963.1600000001</v>
      </c>
      <c r="F44" s="140">
        <f>F47+F57+F45</f>
        <v>495073.39000000007</v>
      </c>
      <c r="G44" s="141">
        <f>F44/E44</f>
        <v>0.34988429663426718</v>
      </c>
      <c r="H44" s="140">
        <f>H47+H57+H45</f>
        <v>13140.88</v>
      </c>
      <c r="I44" s="140">
        <f>I47+I57+I45</f>
        <v>0</v>
      </c>
    </row>
    <row r="45" spans="1:9" s="142" customFormat="1" ht="25.5" x14ac:dyDescent="0.25">
      <c r="A45" s="118">
        <v>853</v>
      </c>
      <c r="B45" s="118">
        <v>85311</v>
      </c>
      <c r="C45" s="118" t="s">
        <v>107</v>
      </c>
      <c r="D45" s="120" t="s">
        <v>169</v>
      </c>
      <c r="E45" s="121">
        <f>E46</f>
        <v>1800</v>
      </c>
      <c r="F45" s="121">
        <f>F46</f>
        <v>1777.33</v>
      </c>
      <c r="G45" s="122">
        <f>F45/E45</f>
        <v>0.98740555555555554</v>
      </c>
      <c r="H45" s="121">
        <f>H46</f>
        <v>0</v>
      </c>
      <c r="I45" s="121">
        <f>I46</f>
        <v>0</v>
      </c>
    </row>
    <row r="46" spans="1:9" s="142" customFormat="1" ht="38.25" x14ac:dyDescent="0.25">
      <c r="A46" s="123">
        <v>853</v>
      </c>
      <c r="B46" s="123">
        <v>85311</v>
      </c>
      <c r="C46" s="123">
        <v>4330</v>
      </c>
      <c r="D46" s="129" t="s">
        <v>170</v>
      </c>
      <c r="E46" s="125">
        <v>1800</v>
      </c>
      <c r="F46" s="125">
        <v>1777.33</v>
      </c>
      <c r="G46" s="143">
        <f t="shared" ref="G46:G99" si="2">F46/E46</f>
        <v>0.98740555555555554</v>
      </c>
      <c r="H46" s="125">
        <v>0</v>
      </c>
      <c r="I46" s="125">
        <v>0</v>
      </c>
    </row>
    <row r="47" spans="1:9" s="142" customFormat="1" ht="25.5" x14ac:dyDescent="0.25">
      <c r="A47" s="118">
        <v>853</v>
      </c>
      <c r="B47" s="118">
        <v>85321</v>
      </c>
      <c r="C47" s="118" t="s">
        <v>107</v>
      </c>
      <c r="D47" s="120" t="s">
        <v>171</v>
      </c>
      <c r="E47" s="121">
        <f>E53+SUM(E54:E56)+E48</f>
        <v>181446</v>
      </c>
      <c r="F47" s="121">
        <f>F53+SUM(F54:F56)+F48</f>
        <v>77782.01999999999</v>
      </c>
      <c r="G47" s="122">
        <f>F47/E47</f>
        <v>0.42867861512516114</v>
      </c>
      <c r="H47" s="121">
        <f>SUM(H48:H56)</f>
        <v>505</v>
      </c>
      <c r="I47" s="121">
        <f>SUM(I48:I56)</f>
        <v>0</v>
      </c>
    </row>
    <row r="48" spans="1:9" x14ac:dyDescent="0.25">
      <c r="A48" s="128">
        <v>853</v>
      </c>
      <c r="B48" s="128">
        <v>85321</v>
      </c>
      <c r="C48" s="128">
        <v>3030</v>
      </c>
      <c r="D48" s="131" t="s">
        <v>172</v>
      </c>
      <c r="E48" s="132">
        <v>58160.44</v>
      </c>
      <c r="F48" s="130">
        <v>13296</v>
      </c>
      <c r="G48" s="126">
        <f t="shared" si="2"/>
        <v>0.22860899951926084</v>
      </c>
      <c r="H48" s="130">
        <v>0</v>
      </c>
      <c r="I48" s="125">
        <v>0</v>
      </c>
    </row>
    <row r="49" spans="1:12" x14ac:dyDescent="0.25">
      <c r="A49" s="128">
        <v>853</v>
      </c>
      <c r="B49" s="128">
        <v>85321</v>
      </c>
      <c r="C49" s="128">
        <v>4010</v>
      </c>
      <c r="D49" s="129" t="s">
        <v>151</v>
      </c>
      <c r="E49" s="132">
        <v>88484</v>
      </c>
      <c r="F49" s="130">
        <v>43010.6</v>
      </c>
      <c r="G49" s="126">
        <f>F49/E49</f>
        <v>0.48608335970344918</v>
      </c>
      <c r="H49" s="130">
        <v>505</v>
      </c>
      <c r="I49" s="125">
        <v>0</v>
      </c>
    </row>
    <row r="50" spans="1:12" x14ac:dyDescent="0.25">
      <c r="A50" s="128">
        <v>853</v>
      </c>
      <c r="B50" s="128">
        <v>85321</v>
      </c>
      <c r="C50" s="128">
        <v>4040</v>
      </c>
      <c r="D50" s="129" t="s">
        <v>152</v>
      </c>
      <c r="E50" s="132">
        <v>8253.56</v>
      </c>
      <c r="F50" s="130">
        <v>8253.56</v>
      </c>
      <c r="G50" s="126">
        <f t="shared" si="2"/>
        <v>1</v>
      </c>
      <c r="H50" s="130">
        <v>0</v>
      </c>
      <c r="I50" s="125">
        <v>0</v>
      </c>
    </row>
    <row r="51" spans="1:12" x14ac:dyDescent="0.25">
      <c r="A51" s="128">
        <v>853</v>
      </c>
      <c r="B51" s="128">
        <v>85321</v>
      </c>
      <c r="C51" s="128">
        <v>4110</v>
      </c>
      <c r="D51" s="129" t="s">
        <v>153</v>
      </c>
      <c r="E51" s="132">
        <v>16935</v>
      </c>
      <c r="F51" s="130">
        <v>8958.82</v>
      </c>
      <c r="G51" s="126">
        <f t="shared" si="2"/>
        <v>0.52901210510776497</v>
      </c>
      <c r="H51" s="130">
        <v>0</v>
      </c>
      <c r="I51" s="125">
        <v>0</v>
      </c>
    </row>
    <row r="52" spans="1:12" x14ac:dyDescent="0.25">
      <c r="A52" s="128">
        <v>853</v>
      </c>
      <c r="B52" s="128">
        <v>85321</v>
      </c>
      <c r="C52" s="128">
        <v>4120</v>
      </c>
      <c r="D52" s="129" t="s">
        <v>154</v>
      </c>
      <c r="E52" s="132">
        <v>2410</v>
      </c>
      <c r="F52" s="130">
        <v>1267.19</v>
      </c>
      <c r="G52" s="126">
        <f t="shared" si="2"/>
        <v>0.52580497925311209</v>
      </c>
      <c r="H52" s="130">
        <v>0</v>
      </c>
      <c r="I52" s="125">
        <v>0</v>
      </c>
    </row>
    <row r="53" spans="1:12" x14ac:dyDescent="0.25">
      <c r="A53" s="128"/>
      <c r="B53" s="128"/>
      <c r="C53" s="128"/>
      <c r="D53" s="133" t="s">
        <v>155</v>
      </c>
      <c r="E53" s="125">
        <f>SUM(E49:E52)</f>
        <v>116082.56</v>
      </c>
      <c r="F53" s="125">
        <f>SUM(F49:F52)</f>
        <v>61490.17</v>
      </c>
      <c r="G53" s="126">
        <f t="shared" si="2"/>
        <v>0.52971066454771498</v>
      </c>
      <c r="H53" s="130"/>
      <c r="I53" s="125"/>
    </row>
    <row r="54" spans="1:12" x14ac:dyDescent="0.25">
      <c r="A54" s="128">
        <v>853</v>
      </c>
      <c r="B54" s="128">
        <v>85321</v>
      </c>
      <c r="C54" s="128">
        <v>4210</v>
      </c>
      <c r="D54" s="129" t="s">
        <v>147</v>
      </c>
      <c r="E54" s="132">
        <v>855.55</v>
      </c>
      <c r="F54" s="130">
        <v>0</v>
      </c>
      <c r="G54" s="126">
        <f t="shared" si="2"/>
        <v>0</v>
      </c>
      <c r="H54" s="130">
        <v>0</v>
      </c>
      <c r="I54" s="125">
        <v>0</v>
      </c>
    </row>
    <row r="55" spans="1:12" x14ac:dyDescent="0.25">
      <c r="A55" s="128">
        <v>853</v>
      </c>
      <c r="B55" s="128">
        <v>85321</v>
      </c>
      <c r="C55" s="128">
        <v>4300</v>
      </c>
      <c r="D55" s="129" t="s">
        <v>149</v>
      </c>
      <c r="E55" s="132">
        <v>2790.45</v>
      </c>
      <c r="F55" s="130">
        <v>105.78</v>
      </c>
      <c r="G55" s="126">
        <f t="shared" si="2"/>
        <v>3.7907864322958666E-2</v>
      </c>
      <c r="H55" s="130">
        <v>0</v>
      </c>
      <c r="I55" s="125">
        <v>0</v>
      </c>
    </row>
    <row r="56" spans="1:12" ht="25.5" x14ac:dyDescent="0.25">
      <c r="A56" s="128">
        <v>853</v>
      </c>
      <c r="B56" s="128">
        <v>85321</v>
      </c>
      <c r="C56" s="128">
        <v>4440</v>
      </c>
      <c r="D56" s="129" t="s">
        <v>160</v>
      </c>
      <c r="E56" s="132">
        <v>3557</v>
      </c>
      <c r="F56" s="130">
        <v>2890.07</v>
      </c>
      <c r="G56" s="126">
        <f t="shared" si="2"/>
        <v>0.81250210851841442</v>
      </c>
      <c r="H56" s="130">
        <v>0</v>
      </c>
      <c r="I56" s="125">
        <v>0</v>
      </c>
      <c r="J56" s="104"/>
      <c r="K56" s="104"/>
      <c r="L56" s="144"/>
    </row>
    <row r="57" spans="1:12" x14ac:dyDescent="0.25">
      <c r="A57" s="118">
        <v>853</v>
      </c>
      <c r="B57" s="118">
        <v>85395</v>
      </c>
      <c r="C57" s="118" t="s">
        <v>107</v>
      </c>
      <c r="D57" s="120" t="s">
        <v>173</v>
      </c>
      <c r="E57" s="121">
        <f>E71+E81+E100</f>
        <v>1231717.1600000001</v>
      </c>
      <c r="F57" s="121">
        <f>F71+F81+F100</f>
        <v>415514.04000000004</v>
      </c>
      <c r="G57" s="122">
        <f t="shared" si="2"/>
        <v>0.33734533665180078</v>
      </c>
      <c r="H57" s="121">
        <f>H71+H81+H100</f>
        <v>12635.88</v>
      </c>
      <c r="I57" s="121">
        <f>I71+I81+I100</f>
        <v>0</v>
      </c>
    </row>
    <row r="58" spans="1:12" x14ac:dyDescent="0.25">
      <c r="A58" s="128">
        <v>853</v>
      </c>
      <c r="B58" s="128">
        <v>85395</v>
      </c>
      <c r="C58" s="128">
        <v>3110</v>
      </c>
      <c r="D58" s="129" t="s">
        <v>174</v>
      </c>
      <c r="E58" s="132">
        <v>3000</v>
      </c>
      <c r="F58" s="130">
        <v>2400</v>
      </c>
      <c r="G58" s="126">
        <f t="shared" si="2"/>
        <v>0.8</v>
      </c>
      <c r="H58" s="130">
        <v>0</v>
      </c>
      <c r="I58" s="125">
        <v>0</v>
      </c>
    </row>
    <row r="59" spans="1:12" x14ac:dyDescent="0.25">
      <c r="A59" s="128">
        <v>853</v>
      </c>
      <c r="B59" s="128">
        <v>85395</v>
      </c>
      <c r="C59" s="128">
        <v>4010</v>
      </c>
      <c r="D59" s="129" t="s">
        <v>151</v>
      </c>
      <c r="E59" s="132">
        <v>60762.74</v>
      </c>
      <c r="F59" s="130">
        <v>31939.040000000001</v>
      </c>
      <c r="G59" s="126">
        <f t="shared" si="2"/>
        <v>0.52563528241155688</v>
      </c>
      <c r="H59" s="130">
        <v>355</v>
      </c>
      <c r="I59" s="125">
        <v>0</v>
      </c>
    </row>
    <row r="60" spans="1:12" x14ac:dyDescent="0.25">
      <c r="A60" s="128">
        <v>853</v>
      </c>
      <c r="B60" s="128">
        <v>85395</v>
      </c>
      <c r="C60" s="128">
        <v>4040</v>
      </c>
      <c r="D60" s="129" t="s">
        <v>152</v>
      </c>
      <c r="E60" s="132">
        <v>2528.2600000000002</v>
      </c>
      <c r="F60" s="130">
        <v>2528.2600000000002</v>
      </c>
      <c r="G60" s="126">
        <f t="shared" si="2"/>
        <v>1</v>
      </c>
      <c r="H60" s="130">
        <v>0</v>
      </c>
      <c r="I60" s="125">
        <v>0</v>
      </c>
    </row>
    <row r="61" spans="1:12" x14ac:dyDescent="0.25">
      <c r="A61" s="128">
        <v>853</v>
      </c>
      <c r="B61" s="128">
        <v>85395</v>
      </c>
      <c r="C61" s="128">
        <v>4110</v>
      </c>
      <c r="D61" s="129" t="s">
        <v>153</v>
      </c>
      <c r="E61" s="132">
        <v>14302</v>
      </c>
      <c r="F61" s="130">
        <v>7200.63</v>
      </c>
      <c r="G61" s="126">
        <f t="shared" si="2"/>
        <v>0.50347014403579915</v>
      </c>
      <c r="H61" s="130">
        <v>0</v>
      </c>
      <c r="I61" s="125">
        <v>0</v>
      </c>
    </row>
    <row r="62" spans="1:12" x14ac:dyDescent="0.25">
      <c r="A62" s="128">
        <v>853</v>
      </c>
      <c r="B62" s="128">
        <v>85395</v>
      </c>
      <c r="C62" s="128">
        <v>4120</v>
      </c>
      <c r="D62" s="129" t="s">
        <v>154</v>
      </c>
      <c r="E62" s="132">
        <v>2035</v>
      </c>
      <c r="F62" s="130">
        <v>834.49</v>
      </c>
      <c r="G62" s="126">
        <f t="shared" si="2"/>
        <v>0.41006879606879609</v>
      </c>
      <c r="H62" s="130">
        <v>0</v>
      </c>
      <c r="I62" s="125">
        <v>0</v>
      </c>
    </row>
    <row r="63" spans="1:12" x14ac:dyDescent="0.25">
      <c r="A63" s="128">
        <v>853</v>
      </c>
      <c r="B63" s="128">
        <v>85395</v>
      </c>
      <c r="C63" s="128">
        <v>4170</v>
      </c>
      <c r="D63" s="129" t="s">
        <v>146</v>
      </c>
      <c r="E63" s="132">
        <v>21000</v>
      </c>
      <c r="F63" s="130">
        <v>7413</v>
      </c>
      <c r="G63" s="126">
        <f t="shared" si="2"/>
        <v>0.35299999999999998</v>
      </c>
      <c r="H63" s="130">
        <v>87</v>
      </c>
      <c r="I63" s="125">
        <v>0</v>
      </c>
    </row>
    <row r="64" spans="1:12" x14ac:dyDescent="0.25">
      <c r="A64" s="128"/>
      <c r="B64" s="128"/>
      <c r="C64" s="128"/>
      <c r="D64" s="133" t="s">
        <v>155</v>
      </c>
      <c r="E64" s="132">
        <f>SUM(E59:E63)</f>
        <v>100628</v>
      </c>
      <c r="F64" s="132">
        <f>SUM(F59:F63)</f>
        <v>49915.42</v>
      </c>
      <c r="G64" s="126">
        <f t="shared" si="2"/>
        <v>0.49603907461144015</v>
      </c>
      <c r="H64" s="130"/>
      <c r="I64" s="125"/>
    </row>
    <row r="65" spans="1:9" x14ac:dyDescent="0.25">
      <c r="A65" s="128">
        <v>853</v>
      </c>
      <c r="B65" s="128">
        <v>85395</v>
      </c>
      <c r="C65" s="128">
        <v>4210</v>
      </c>
      <c r="D65" s="129" t="s">
        <v>147</v>
      </c>
      <c r="E65" s="132">
        <v>65838.58</v>
      </c>
      <c r="F65" s="130">
        <v>8209.09</v>
      </c>
      <c r="G65" s="126">
        <f t="shared" si="2"/>
        <v>0.12468510104561793</v>
      </c>
      <c r="H65" s="130">
        <v>0</v>
      </c>
      <c r="I65" s="125">
        <v>0</v>
      </c>
    </row>
    <row r="66" spans="1:9" x14ac:dyDescent="0.25">
      <c r="A66" s="128">
        <v>853</v>
      </c>
      <c r="B66" s="128">
        <v>85395</v>
      </c>
      <c r="C66" s="128">
        <v>4260</v>
      </c>
      <c r="D66" s="129" t="s">
        <v>166</v>
      </c>
      <c r="E66" s="132">
        <v>2160</v>
      </c>
      <c r="F66" s="130">
        <v>1361.65</v>
      </c>
      <c r="G66" s="126">
        <f t="shared" si="2"/>
        <v>0.63039351851851855</v>
      </c>
      <c r="H66" s="130">
        <v>35.86</v>
      </c>
      <c r="I66" s="125">
        <v>0</v>
      </c>
    </row>
    <row r="67" spans="1:9" x14ac:dyDescent="0.25">
      <c r="A67" s="128">
        <v>853</v>
      </c>
      <c r="B67" s="128">
        <v>85395</v>
      </c>
      <c r="C67" s="128">
        <v>4300</v>
      </c>
      <c r="D67" s="129" t="s">
        <v>149</v>
      </c>
      <c r="E67" s="132">
        <v>107473.3</v>
      </c>
      <c r="F67" s="130">
        <v>61278.35</v>
      </c>
      <c r="G67" s="126">
        <f t="shared" si="2"/>
        <v>0.5701727777969039</v>
      </c>
      <c r="H67" s="130">
        <v>58.02</v>
      </c>
      <c r="I67" s="125">
        <v>0</v>
      </c>
    </row>
    <row r="68" spans="1:9" ht="25.5" x14ac:dyDescent="0.25">
      <c r="A68" s="128">
        <v>853</v>
      </c>
      <c r="B68" s="128">
        <v>85395</v>
      </c>
      <c r="C68" s="128">
        <v>4360</v>
      </c>
      <c r="D68" s="129" t="s">
        <v>157</v>
      </c>
      <c r="E68" s="132">
        <v>1700</v>
      </c>
      <c r="F68" s="130">
        <v>593.94000000000005</v>
      </c>
      <c r="G68" s="126">
        <f t="shared" si="2"/>
        <v>0.34937647058823534</v>
      </c>
      <c r="H68" s="130">
        <v>0</v>
      </c>
      <c r="I68" s="125">
        <v>0</v>
      </c>
    </row>
    <row r="69" spans="1:9" ht="25.5" x14ac:dyDescent="0.25">
      <c r="A69" s="128">
        <v>853</v>
      </c>
      <c r="B69" s="128">
        <v>85395</v>
      </c>
      <c r="C69" s="128">
        <v>4440</v>
      </c>
      <c r="D69" s="129" t="s">
        <v>160</v>
      </c>
      <c r="E69" s="132">
        <v>1779</v>
      </c>
      <c r="F69" s="130">
        <v>1445.44</v>
      </c>
      <c r="G69" s="126">
        <f t="shared" si="2"/>
        <v>0.81250140528386738</v>
      </c>
      <c r="H69" s="130">
        <v>0</v>
      </c>
      <c r="I69" s="125">
        <v>0</v>
      </c>
    </row>
    <row r="70" spans="1:9" ht="25.5" x14ac:dyDescent="0.25">
      <c r="A70" s="128">
        <v>853</v>
      </c>
      <c r="B70" s="128">
        <v>85395</v>
      </c>
      <c r="C70" s="128">
        <v>6060</v>
      </c>
      <c r="D70" s="129" t="s">
        <v>164</v>
      </c>
      <c r="E70" s="132">
        <v>31926</v>
      </c>
      <c r="F70" s="130">
        <v>31926</v>
      </c>
      <c r="G70" s="126">
        <f t="shared" si="2"/>
        <v>1</v>
      </c>
      <c r="H70" s="130">
        <v>0</v>
      </c>
      <c r="I70" s="125">
        <v>0</v>
      </c>
    </row>
    <row r="71" spans="1:9" x14ac:dyDescent="0.25">
      <c r="A71" s="128"/>
      <c r="B71" s="128"/>
      <c r="C71" s="128"/>
      <c r="D71" s="129" t="s">
        <v>16</v>
      </c>
      <c r="E71" s="132">
        <f>SUM(E65:E70)+E64+E58</f>
        <v>314504.88</v>
      </c>
      <c r="F71" s="132">
        <f>SUM(F65:F70)+F64+F58</f>
        <v>157129.89000000001</v>
      </c>
      <c r="G71" s="126">
        <f t="shared" si="2"/>
        <v>0.49961033990951115</v>
      </c>
      <c r="H71" s="130">
        <f>SUM(H58:H70)</f>
        <v>535.88</v>
      </c>
      <c r="I71" s="130">
        <f>SUM(I58:I70)</f>
        <v>0</v>
      </c>
    </row>
    <row r="72" spans="1:9" ht="25.5" x14ac:dyDescent="0.25">
      <c r="A72" s="128"/>
      <c r="B72" s="128"/>
      <c r="C72" s="128"/>
      <c r="D72" s="145" t="s">
        <v>175</v>
      </c>
      <c r="E72" s="132"/>
      <c r="F72" s="132"/>
      <c r="G72" s="126"/>
      <c r="H72" s="130"/>
      <c r="I72" s="130"/>
    </row>
    <row r="73" spans="1:9" x14ac:dyDescent="0.25">
      <c r="A73" s="128">
        <v>853</v>
      </c>
      <c r="B73" s="128">
        <v>85395</v>
      </c>
      <c r="C73" s="128">
        <v>4017</v>
      </c>
      <c r="D73" s="129" t="s">
        <v>151</v>
      </c>
      <c r="E73" s="132">
        <v>136868</v>
      </c>
      <c r="F73" s="130">
        <v>22160</v>
      </c>
      <c r="G73" s="126">
        <f t="shared" si="2"/>
        <v>0.16190782359645789</v>
      </c>
      <c r="H73" s="130">
        <v>0</v>
      </c>
      <c r="I73" s="125">
        <v>0</v>
      </c>
    </row>
    <row r="74" spans="1:9" x14ac:dyDescent="0.25">
      <c r="A74" s="128">
        <v>853</v>
      </c>
      <c r="B74" s="128">
        <v>85395</v>
      </c>
      <c r="C74" s="128">
        <v>4117</v>
      </c>
      <c r="D74" s="129" t="s">
        <v>153</v>
      </c>
      <c r="E74" s="132">
        <v>18432</v>
      </c>
      <c r="F74" s="130">
        <v>3850.51</v>
      </c>
      <c r="G74" s="126">
        <f t="shared" si="2"/>
        <v>0.20890353732638889</v>
      </c>
      <c r="H74" s="130">
        <v>0</v>
      </c>
      <c r="I74" s="125">
        <v>0</v>
      </c>
    </row>
    <row r="75" spans="1:9" x14ac:dyDescent="0.25">
      <c r="A75" s="128">
        <v>853</v>
      </c>
      <c r="B75" s="128">
        <v>85395</v>
      </c>
      <c r="C75" s="128">
        <v>4127</v>
      </c>
      <c r="D75" s="129" t="s">
        <v>154</v>
      </c>
      <c r="E75" s="132">
        <v>3072</v>
      </c>
      <c r="F75" s="130">
        <v>542.91999999999996</v>
      </c>
      <c r="G75" s="126">
        <f t="shared" si="2"/>
        <v>0.17673177083333333</v>
      </c>
      <c r="H75" s="130">
        <v>0</v>
      </c>
      <c r="I75" s="125">
        <v>0</v>
      </c>
    </row>
    <row r="76" spans="1:9" x14ac:dyDescent="0.25">
      <c r="A76" s="128">
        <v>853</v>
      </c>
      <c r="B76" s="128">
        <v>85395</v>
      </c>
      <c r="C76" s="128">
        <v>4177</v>
      </c>
      <c r="D76" s="129" t="s">
        <v>146</v>
      </c>
      <c r="E76" s="132">
        <v>30000</v>
      </c>
      <c r="F76" s="130">
        <v>27100</v>
      </c>
      <c r="G76" s="126">
        <f t="shared" si="2"/>
        <v>0.90333333333333332</v>
      </c>
      <c r="H76" s="130">
        <v>0</v>
      </c>
      <c r="I76" s="125">
        <v>0</v>
      </c>
    </row>
    <row r="77" spans="1:9" x14ac:dyDescent="0.25">
      <c r="A77" s="128"/>
      <c r="B77" s="128"/>
      <c r="C77" s="128"/>
      <c r="D77" s="133" t="s">
        <v>155</v>
      </c>
      <c r="E77" s="132">
        <f>SUM(E73:E76)</f>
        <v>188372</v>
      </c>
      <c r="F77" s="132">
        <f>SUM(F73:F76)</f>
        <v>53653.43</v>
      </c>
      <c r="G77" s="126">
        <f t="shared" si="2"/>
        <v>0.28482699127258826</v>
      </c>
      <c r="H77" s="130">
        <v>0</v>
      </c>
      <c r="I77" s="125">
        <v>0</v>
      </c>
    </row>
    <row r="78" spans="1:9" x14ac:dyDescent="0.25">
      <c r="A78" s="128">
        <v>853</v>
      </c>
      <c r="B78" s="128">
        <v>85395</v>
      </c>
      <c r="C78" s="128">
        <v>4217</v>
      </c>
      <c r="D78" s="129" t="s">
        <v>147</v>
      </c>
      <c r="E78" s="132">
        <v>6144</v>
      </c>
      <c r="F78" s="130">
        <v>500</v>
      </c>
      <c r="G78" s="126">
        <f t="shared" si="2"/>
        <v>8.1380208333333329E-2</v>
      </c>
      <c r="H78" s="130">
        <v>0</v>
      </c>
      <c r="I78" s="125">
        <v>0</v>
      </c>
    </row>
    <row r="79" spans="1:9" x14ac:dyDescent="0.25">
      <c r="A79" s="128">
        <v>853</v>
      </c>
      <c r="B79" s="128">
        <v>85395</v>
      </c>
      <c r="C79" s="128">
        <v>4307</v>
      </c>
      <c r="D79" s="129" t="s">
        <v>149</v>
      </c>
      <c r="E79" s="132">
        <v>332153.78000000003</v>
      </c>
      <c r="F79" s="130">
        <v>164866</v>
      </c>
      <c r="G79" s="126">
        <f t="shared" si="2"/>
        <v>0.49635442956572701</v>
      </c>
      <c r="H79" s="130">
        <v>12100</v>
      </c>
      <c r="I79" s="125">
        <v>0</v>
      </c>
    </row>
    <row r="80" spans="1:9" x14ac:dyDescent="0.25">
      <c r="A80" s="128">
        <v>853</v>
      </c>
      <c r="B80" s="128">
        <v>85395</v>
      </c>
      <c r="C80" s="128">
        <v>4417</v>
      </c>
      <c r="D80" s="129" t="s">
        <v>158</v>
      </c>
      <c r="E80" s="132">
        <v>800</v>
      </c>
      <c r="F80" s="130">
        <v>299.22000000000003</v>
      </c>
      <c r="G80" s="126">
        <f t="shared" si="2"/>
        <v>0.37402500000000005</v>
      </c>
      <c r="H80" s="130">
        <v>0</v>
      </c>
      <c r="I80" s="125">
        <v>0</v>
      </c>
    </row>
    <row r="81" spans="1:9" ht="25.5" x14ac:dyDescent="0.25">
      <c r="A81" s="128"/>
      <c r="B81" s="128"/>
      <c r="C81" s="128"/>
      <c r="D81" s="129" t="s">
        <v>176</v>
      </c>
      <c r="E81" s="132">
        <f>E77+SUM(E78:E80)</f>
        <v>527469.78</v>
      </c>
      <c r="F81" s="132">
        <f>F77+SUM(F78:F80)</f>
        <v>219318.65</v>
      </c>
      <c r="G81" s="126">
        <f t="shared" si="2"/>
        <v>0.41579377305748205</v>
      </c>
      <c r="H81" s="130">
        <f>SUM(H73:H80)</f>
        <v>12100</v>
      </c>
      <c r="I81" s="130">
        <f>SUM(I73:I80)</f>
        <v>0</v>
      </c>
    </row>
    <row r="82" spans="1:9" x14ac:dyDescent="0.25">
      <c r="A82" s="128"/>
      <c r="B82" s="128"/>
      <c r="C82" s="128"/>
      <c r="D82" s="145" t="s">
        <v>177</v>
      </c>
      <c r="E82" s="132"/>
      <c r="F82" s="130"/>
      <c r="G82" s="126"/>
      <c r="H82" s="130"/>
      <c r="I82" s="125"/>
    </row>
    <row r="83" spans="1:9" x14ac:dyDescent="0.25">
      <c r="A83" s="128">
        <v>853</v>
      </c>
      <c r="B83" s="128">
        <v>85395</v>
      </c>
      <c r="C83" s="128">
        <v>4017</v>
      </c>
      <c r="D83" s="129" t="s">
        <v>151</v>
      </c>
      <c r="E83" s="132">
        <v>84053</v>
      </c>
      <c r="F83" s="130">
        <v>15583.36</v>
      </c>
      <c r="G83" s="126">
        <f t="shared" si="2"/>
        <v>0.18539921240169893</v>
      </c>
      <c r="H83" s="130">
        <v>0</v>
      </c>
      <c r="I83" s="125">
        <v>0</v>
      </c>
    </row>
    <row r="84" spans="1:9" x14ac:dyDescent="0.25">
      <c r="A84" s="128">
        <v>853</v>
      </c>
      <c r="B84" s="128">
        <v>85395</v>
      </c>
      <c r="C84" s="128">
        <v>4019</v>
      </c>
      <c r="D84" s="129" t="s">
        <v>151</v>
      </c>
      <c r="E84" s="132">
        <v>14834</v>
      </c>
      <c r="F84" s="130">
        <v>1816.64</v>
      </c>
      <c r="G84" s="126">
        <f t="shared" si="2"/>
        <v>0.12246460833220979</v>
      </c>
      <c r="H84" s="130">
        <v>0</v>
      </c>
      <c r="I84" s="125">
        <v>0</v>
      </c>
    </row>
    <row r="85" spans="1:9" x14ac:dyDescent="0.25">
      <c r="A85" s="128">
        <v>853</v>
      </c>
      <c r="B85" s="128">
        <v>85395</v>
      </c>
      <c r="C85" s="128">
        <v>4117</v>
      </c>
      <c r="D85" s="129" t="s">
        <v>153</v>
      </c>
      <c r="E85" s="132">
        <v>11320</v>
      </c>
      <c r="F85" s="130">
        <v>2720.85</v>
      </c>
      <c r="G85" s="126">
        <f t="shared" si="2"/>
        <v>0.2403577738515901</v>
      </c>
      <c r="H85" s="130">
        <v>0</v>
      </c>
      <c r="I85" s="125">
        <v>0</v>
      </c>
    </row>
    <row r="86" spans="1:9" x14ac:dyDescent="0.25">
      <c r="A86" s="128">
        <v>853</v>
      </c>
      <c r="B86" s="128">
        <v>85395</v>
      </c>
      <c r="C86" s="128">
        <v>4119</v>
      </c>
      <c r="D86" s="129" t="s">
        <v>153</v>
      </c>
      <c r="E86" s="132">
        <v>1997</v>
      </c>
      <c r="F86" s="130">
        <v>317.19</v>
      </c>
      <c r="G86" s="126">
        <f t="shared" si="2"/>
        <v>0.1588332498748122</v>
      </c>
      <c r="H86" s="130">
        <v>0</v>
      </c>
      <c r="I86" s="125">
        <v>0</v>
      </c>
    </row>
    <row r="87" spans="1:9" x14ac:dyDescent="0.25">
      <c r="A87" s="128">
        <v>853</v>
      </c>
      <c r="B87" s="128">
        <v>85395</v>
      </c>
      <c r="C87" s="128">
        <v>4127</v>
      </c>
      <c r="D87" s="129" t="s">
        <v>154</v>
      </c>
      <c r="E87" s="132">
        <v>1887</v>
      </c>
      <c r="F87" s="130">
        <v>381.78</v>
      </c>
      <c r="G87" s="126">
        <f t="shared" si="2"/>
        <v>0.20232114467408582</v>
      </c>
      <c r="H87" s="130">
        <v>0</v>
      </c>
      <c r="I87" s="125">
        <v>0</v>
      </c>
    </row>
    <row r="88" spans="1:9" x14ac:dyDescent="0.25">
      <c r="A88" s="128">
        <v>853</v>
      </c>
      <c r="B88" s="128">
        <v>85395</v>
      </c>
      <c r="C88" s="128">
        <v>4129</v>
      </c>
      <c r="D88" s="129" t="s">
        <v>154</v>
      </c>
      <c r="E88" s="132">
        <v>332</v>
      </c>
      <c r="F88" s="130">
        <v>44.52</v>
      </c>
      <c r="G88" s="126">
        <f t="shared" si="2"/>
        <v>0.13409638554216868</v>
      </c>
      <c r="H88" s="130">
        <v>0</v>
      </c>
      <c r="I88" s="125">
        <v>0</v>
      </c>
    </row>
    <row r="89" spans="1:9" x14ac:dyDescent="0.25">
      <c r="A89" s="128">
        <v>853</v>
      </c>
      <c r="B89" s="128">
        <v>85395</v>
      </c>
      <c r="C89" s="128">
        <v>4177</v>
      </c>
      <c r="D89" s="129" t="s">
        <v>146</v>
      </c>
      <c r="E89" s="132">
        <v>15092</v>
      </c>
      <c r="F89" s="130">
        <v>806.03</v>
      </c>
      <c r="G89" s="126">
        <f t="shared" si="2"/>
        <v>5.3407765703684072E-2</v>
      </c>
      <c r="H89" s="130">
        <v>0</v>
      </c>
      <c r="I89" s="125">
        <v>0</v>
      </c>
    </row>
    <row r="90" spans="1:9" x14ac:dyDescent="0.25">
      <c r="A90" s="128">
        <v>853</v>
      </c>
      <c r="B90" s="128">
        <v>85395</v>
      </c>
      <c r="C90" s="128">
        <v>4179</v>
      </c>
      <c r="D90" s="129" t="s">
        <v>146</v>
      </c>
      <c r="E90" s="132">
        <v>2665</v>
      </c>
      <c r="F90" s="130">
        <v>93.97</v>
      </c>
      <c r="G90" s="126">
        <f t="shared" si="2"/>
        <v>3.526078799249531E-2</v>
      </c>
      <c r="H90" s="130">
        <v>0</v>
      </c>
      <c r="I90" s="125">
        <v>0</v>
      </c>
    </row>
    <row r="91" spans="1:9" x14ac:dyDescent="0.25">
      <c r="A91" s="128"/>
      <c r="B91" s="128"/>
      <c r="C91" s="128"/>
      <c r="D91" s="133" t="s">
        <v>155</v>
      </c>
      <c r="E91" s="132">
        <f>SUM(E83:E90)</f>
        <v>132180</v>
      </c>
      <c r="F91" s="132">
        <f>SUM(F83:F90)</f>
        <v>21764.339999999997</v>
      </c>
      <c r="G91" s="126">
        <f t="shared" si="2"/>
        <v>0.16465683159328187</v>
      </c>
      <c r="H91" s="130">
        <v>0</v>
      </c>
      <c r="I91" s="125">
        <v>0</v>
      </c>
    </row>
    <row r="92" spans="1:9" x14ac:dyDescent="0.25">
      <c r="A92" s="128">
        <v>853</v>
      </c>
      <c r="B92" s="128">
        <v>85395</v>
      </c>
      <c r="C92" s="128">
        <v>4217</v>
      </c>
      <c r="D92" s="129" t="s">
        <v>147</v>
      </c>
      <c r="E92" s="132">
        <v>3774</v>
      </c>
      <c r="F92" s="130">
        <v>1742.67</v>
      </c>
      <c r="G92" s="126">
        <f t="shared" si="2"/>
        <v>0.46175675675675676</v>
      </c>
      <c r="H92" s="130">
        <v>0</v>
      </c>
      <c r="I92" s="125">
        <v>0</v>
      </c>
    </row>
    <row r="93" spans="1:9" x14ac:dyDescent="0.25">
      <c r="A93" s="128">
        <v>853</v>
      </c>
      <c r="B93" s="128">
        <v>85395</v>
      </c>
      <c r="C93" s="128">
        <v>4219</v>
      </c>
      <c r="D93" s="129" t="s">
        <v>147</v>
      </c>
      <c r="E93" s="132">
        <v>665</v>
      </c>
      <c r="F93" s="130">
        <v>203.16</v>
      </c>
      <c r="G93" s="126">
        <f t="shared" si="2"/>
        <v>0.30550375939849622</v>
      </c>
      <c r="H93" s="130">
        <v>0</v>
      </c>
      <c r="I93" s="125">
        <v>0</v>
      </c>
    </row>
    <row r="94" spans="1:9" x14ac:dyDescent="0.25">
      <c r="A94" s="128">
        <v>853</v>
      </c>
      <c r="B94" s="128">
        <v>85395</v>
      </c>
      <c r="C94" s="128">
        <v>4227</v>
      </c>
      <c r="D94" s="124" t="s">
        <v>148</v>
      </c>
      <c r="E94" s="132">
        <v>8597.76</v>
      </c>
      <c r="F94" s="130">
        <v>0</v>
      </c>
      <c r="G94" s="126">
        <f t="shared" si="2"/>
        <v>0</v>
      </c>
      <c r="H94" s="130">
        <v>0</v>
      </c>
      <c r="I94" s="125">
        <v>0</v>
      </c>
    </row>
    <row r="95" spans="1:9" x14ac:dyDescent="0.25">
      <c r="A95" s="128">
        <v>853</v>
      </c>
      <c r="B95" s="128">
        <v>85395</v>
      </c>
      <c r="C95" s="128">
        <v>4229</v>
      </c>
      <c r="D95" s="124" t="s">
        <v>148</v>
      </c>
      <c r="E95" s="132">
        <v>1002.24</v>
      </c>
      <c r="F95" s="130">
        <v>0</v>
      </c>
      <c r="G95" s="126">
        <f t="shared" si="2"/>
        <v>0</v>
      </c>
      <c r="H95" s="130">
        <v>0</v>
      </c>
      <c r="I95" s="125">
        <v>0</v>
      </c>
    </row>
    <row r="96" spans="1:9" x14ac:dyDescent="0.25">
      <c r="A96" s="128">
        <v>853</v>
      </c>
      <c r="B96" s="128">
        <v>85395</v>
      </c>
      <c r="C96" s="128">
        <v>4307</v>
      </c>
      <c r="D96" s="129" t="s">
        <v>149</v>
      </c>
      <c r="E96" s="132">
        <v>205203.22</v>
      </c>
      <c r="F96" s="130">
        <v>13648.93</v>
      </c>
      <c r="G96" s="126">
        <f t="shared" si="2"/>
        <v>6.6514209669809282E-2</v>
      </c>
      <c r="H96" s="130">
        <v>0</v>
      </c>
      <c r="I96" s="125">
        <v>0</v>
      </c>
    </row>
    <row r="97" spans="1:9" x14ac:dyDescent="0.25">
      <c r="A97" s="128">
        <v>853</v>
      </c>
      <c r="B97" s="128">
        <v>85395</v>
      </c>
      <c r="C97" s="128">
        <v>4309</v>
      </c>
      <c r="D97" s="129" t="s">
        <v>149</v>
      </c>
      <c r="E97" s="132">
        <v>36808.28</v>
      </c>
      <c r="F97" s="130">
        <v>1591.07</v>
      </c>
      <c r="G97" s="126">
        <f t="shared" si="2"/>
        <v>4.3225872004885854E-2</v>
      </c>
      <c r="H97" s="130">
        <v>0</v>
      </c>
      <c r="I97" s="125">
        <v>0</v>
      </c>
    </row>
    <row r="98" spans="1:9" x14ac:dyDescent="0.25">
      <c r="A98" s="128">
        <v>853</v>
      </c>
      <c r="B98" s="128">
        <v>85395</v>
      </c>
      <c r="C98" s="128">
        <v>4417</v>
      </c>
      <c r="D98" s="129" t="s">
        <v>158</v>
      </c>
      <c r="E98" s="132">
        <v>1354.15</v>
      </c>
      <c r="F98" s="130">
        <v>103.29</v>
      </c>
      <c r="G98" s="126">
        <f t="shared" si="2"/>
        <v>7.6276631096998115E-2</v>
      </c>
      <c r="H98" s="130">
        <v>0</v>
      </c>
      <c r="I98" s="125">
        <v>0</v>
      </c>
    </row>
    <row r="99" spans="1:9" x14ac:dyDescent="0.25">
      <c r="A99" s="128">
        <v>853</v>
      </c>
      <c r="B99" s="128">
        <v>85395</v>
      </c>
      <c r="C99" s="128">
        <v>4419</v>
      </c>
      <c r="D99" s="129" t="s">
        <v>158</v>
      </c>
      <c r="E99" s="132">
        <v>157.85</v>
      </c>
      <c r="F99" s="130">
        <v>12.04</v>
      </c>
      <c r="G99" s="126">
        <f t="shared" si="2"/>
        <v>7.6274944567627498E-2</v>
      </c>
      <c r="H99" s="130">
        <v>0</v>
      </c>
      <c r="I99" s="125">
        <v>0</v>
      </c>
    </row>
    <row r="100" spans="1:9" ht="25.5" x14ac:dyDescent="0.25">
      <c r="A100" s="128"/>
      <c r="B100" s="128"/>
      <c r="C100" s="128"/>
      <c r="D100" s="145" t="s">
        <v>178</v>
      </c>
      <c r="E100" s="132">
        <f>E91+SUM(E92:E99)</f>
        <v>389742.5</v>
      </c>
      <c r="F100" s="132">
        <f>F91+SUM(F92:F99)</f>
        <v>39065.5</v>
      </c>
      <c r="G100" s="126">
        <f>F100/E100</f>
        <v>0.10023412894411053</v>
      </c>
      <c r="H100" s="130">
        <f>SUM(H83:H99)</f>
        <v>0</v>
      </c>
      <c r="I100" s="130">
        <f>SUM(I83:I99)</f>
        <v>0</v>
      </c>
    </row>
    <row r="101" spans="1:9" x14ac:dyDescent="0.25">
      <c r="A101" s="146">
        <v>855</v>
      </c>
      <c r="B101" s="146" t="s">
        <v>107</v>
      </c>
      <c r="C101" s="146" t="s">
        <v>107</v>
      </c>
      <c r="D101" s="147" t="s">
        <v>129</v>
      </c>
      <c r="E101" s="148">
        <f>E102+E119</f>
        <v>4270828</v>
      </c>
      <c r="F101" s="148">
        <f>F102+F119</f>
        <v>1638073.16</v>
      </c>
      <c r="G101" s="149">
        <f>F101/E101</f>
        <v>0.3835493164323171</v>
      </c>
      <c r="H101" s="148">
        <f>H102+H119</f>
        <v>2620.83</v>
      </c>
      <c r="I101" s="148">
        <f>I102+I119</f>
        <v>0</v>
      </c>
    </row>
    <row r="102" spans="1:9" x14ac:dyDescent="0.25">
      <c r="A102" s="118">
        <v>855</v>
      </c>
      <c r="B102" s="118">
        <v>85508</v>
      </c>
      <c r="C102" s="118" t="s">
        <v>107</v>
      </c>
      <c r="D102" s="120" t="s">
        <v>130</v>
      </c>
      <c r="E102" s="121">
        <f>SUM(E103:E118)-E110</f>
        <v>3966428</v>
      </c>
      <c r="F102" s="121">
        <f>SUM(F103:F118)-F110</f>
        <v>1566705.3699999999</v>
      </c>
      <c r="G102" s="122">
        <f>F102/E102</f>
        <v>0.3949915062116342</v>
      </c>
      <c r="H102" s="121">
        <f>SUM(H103:H118)</f>
        <v>2620.83</v>
      </c>
      <c r="I102" s="121">
        <f>SUM(I103:I118)</f>
        <v>0</v>
      </c>
    </row>
    <row r="103" spans="1:9" x14ac:dyDescent="0.25">
      <c r="A103" s="128">
        <v>855</v>
      </c>
      <c r="B103" s="128">
        <v>85508</v>
      </c>
      <c r="C103" s="128">
        <v>3110</v>
      </c>
      <c r="D103" s="129" t="s">
        <v>174</v>
      </c>
      <c r="E103" s="132">
        <v>2837797</v>
      </c>
      <c r="F103" s="130">
        <v>1175698.24</v>
      </c>
      <c r="G103" s="126">
        <f t="shared" ref="G103:G123" si="3">F103/E103</f>
        <v>0.41429962749273469</v>
      </c>
      <c r="H103" s="130">
        <v>0</v>
      </c>
      <c r="I103" s="125">
        <v>0</v>
      </c>
    </row>
    <row r="104" spans="1:9" x14ac:dyDescent="0.25">
      <c r="A104" s="128">
        <v>855</v>
      </c>
      <c r="B104" s="128">
        <v>85508</v>
      </c>
      <c r="C104" s="128">
        <v>3119</v>
      </c>
      <c r="D104" s="129" t="s">
        <v>174</v>
      </c>
      <c r="E104" s="132">
        <v>117000</v>
      </c>
      <c r="F104" s="130">
        <v>39000</v>
      </c>
      <c r="G104" s="126">
        <f t="shared" si="3"/>
        <v>0.33333333333333331</v>
      </c>
      <c r="H104" s="130">
        <v>0</v>
      </c>
      <c r="I104" s="125">
        <v>0</v>
      </c>
    </row>
    <row r="105" spans="1:9" x14ac:dyDescent="0.25">
      <c r="A105" s="128">
        <v>855</v>
      </c>
      <c r="B105" s="128">
        <v>85508</v>
      </c>
      <c r="C105" s="128">
        <v>4010</v>
      </c>
      <c r="D105" s="131" t="s">
        <v>151</v>
      </c>
      <c r="E105" s="132">
        <v>244555</v>
      </c>
      <c r="F105" s="130">
        <v>102678.93</v>
      </c>
      <c r="G105" s="126">
        <f t="shared" si="3"/>
        <v>0.41986027682934307</v>
      </c>
      <c r="H105" s="130">
        <v>1275</v>
      </c>
      <c r="I105" s="125">
        <v>0</v>
      </c>
    </row>
    <row r="106" spans="1:9" x14ac:dyDescent="0.25">
      <c r="A106" s="128">
        <v>855</v>
      </c>
      <c r="B106" s="128">
        <v>85508</v>
      </c>
      <c r="C106" s="128">
        <v>4040</v>
      </c>
      <c r="D106" s="131" t="s">
        <v>152</v>
      </c>
      <c r="E106" s="132">
        <v>17836.009999999998</v>
      </c>
      <c r="F106" s="130">
        <v>17836.009999999998</v>
      </c>
      <c r="G106" s="126">
        <f t="shared" si="3"/>
        <v>1</v>
      </c>
      <c r="H106" s="130">
        <v>0</v>
      </c>
      <c r="I106" s="125">
        <v>0</v>
      </c>
    </row>
    <row r="107" spans="1:9" x14ac:dyDescent="0.25">
      <c r="A107" s="128">
        <v>855</v>
      </c>
      <c r="B107" s="128">
        <v>85508</v>
      </c>
      <c r="C107" s="128">
        <v>4110</v>
      </c>
      <c r="D107" s="131" t="s">
        <v>153</v>
      </c>
      <c r="E107" s="132">
        <v>88908.99</v>
      </c>
      <c r="F107" s="130">
        <v>36872.68</v>
      </c>
      <c r="G107" s="126">
        <f t="shared" si="3"/>
        <v>0.41472386538189215</v>
      </c>
      <c r="H107" s="130">
        <v>0</v>
      </c>
      <c r="I107" s="125">
        <v>0</v>
      </c>
    </row>
    <row r="108" spans="1:9" x14ac:dyDescent="0.25">
      <c r="A108" s="128">
        <v>855</v>
      </c>
      <c r="B108" s="128">
        <v>85508</v>
      </c>
      <c r="C108" s="128">
        <v>4120</v>
      </c>
      <c r="D108" s="131" t="s">
        <v>154</v>
      </c>
      <c r="E108" s="132">
        <v>11685</v>
      </c>
      <c r="F108" s="130">
        <v>3131.24</v>
      </c>
      <c r="G108" s="126">
        <f t="shared" si="3"/>
        <v>0.26797090286692338</v>
      </c>
      <c r="H108" s="130">
        <v>0</v>
      </c>
      <c r="I108" s="125">
        <v>0</v>
      </c>
    </row>
    <row r="109" spans="1:9" x14ac:dyDescent="0.25">
      <c r="A109" s="128">
        <v>855</v>
      </c>
      <c r="B109" s="128">
        <v>85508</v>
      </c>
      <c r="C109" s="128">
        <v>4170</v>
      </c>
      <c r="D109" s="129" t="s">
        <v>146</v>
      </c>
      <c r="E109" s="132">
        <v>273000</v>
      </c>
      <c r="F109" s="130">
        <v>92016.79</v>
      </c>
      <c r="G109" s="126">
        <f t="shared" si="3"/>
        <v>0.3370578388278388</v>
      </c>
      <c r="H109" s="130">
        <v>892</v>
      </c>
      <c r="I109" s="125">
        <v>0</v>
      </c>
    </row>
    <row r="110" spans="1:9" x14ac:dyDescent="0.25">
      <c r="A110" s="128"/>
      <c r="B110" s="128"/>
      <c r="C110" s="128"/>
      <c r="D110" s="133" t="s">
        <v>155</v>
      </c>
      <c r="E110" s="132">
        <f>SUM(E105:E109)</f>
        <v>635985</v>
      </c>
      <c r="F110" s="132">
        <f>SUM(F105:F109)</f>
        <v>252535.64999999997</v>
      </c>
      <c r="G110" s="126">
        <f t="shared" si="3"/>
        <v>0.39707799712257358</v>
      </c>
      <c r="H110" s="130"/>
      <c r="I110" s="125"/>
    </row>
    <row r="111" spans="1:9" x14ac:dyDescent="0.25">
      <c r="A111" s="128">
        <v>855</v>
      </c>
      <c r="B111" s="128">
        <v>85508</v>
      </c>
      <c r="C111" s="128">
        <v>4210</v>
      </c>
      <c r="D111" s="129" t="s">
        <v>147</v>
      </c>
      <c r="E111" s="132">
        <v>64500</v>
      </c>
      <c r="F111" s="130">
        <v>1500</v>
      </c>
      <c r="G111" s="126">
        <f t="shared" si="3"/>
        <v>2.3255813953488372E-2</v>
      </c>
      <c r="H111" s="130">
        <v>0</v>
      </c>
      <c r="I111" s="125">
        <v>0</v>
      </c>
    </row>
    <row r="112" spans="1:9" x14ac:dyDescent="0.25">
      <c r="A112" s="128">
        <v>855</v>
      </c>
      <c r="B112" s="128">
        <v>85508</v>
      </c>
      <c r="C112" s="128">
        <v>4220</v>
      </c>
      <c r="D112" s="124" t="s">
        <v>148</v>
      </c>
      <c r="E112" s="132">
        <v>500</v>
      </c>
      <c r="F112" s="130">
        <v>382.6</v>
      </c>
      <c r="G112" s="126">
        <f t="shared" si="3"/>
        <v>0.76519999999999999</v>
      </c>
      <c r="H112" s="130">
        <v>0</v>
      </c>
      <c r="I112" s="125">
        <v>0</v>
      </c>
    </row>
    <row r="113" spans="1:9" x14ac:dyDescent="0.25">
      <c r="A113" s="128">
        <v>855</v>
      </c>
      <c r="B113" s="128">
        <v>85508</v>
      </c>
      <c r="C113" s="128">
        <v>4300</v>
      </c>
      <c r="D113" s="129" t="s">
        <v>149</v>
      </c>
      <c r="E113" s="132">
        <v>24000</v>
      </c>
      <c r="F113" s="130">
        <v>7099.15</v>
      </c>
      <c r="G113" s="126">
        <f t="shared" si="3"/>
        <v>0.29579791666666666</v>
      </c>
      <c r="H113" s="130">
        <v>0</v>
      </c>
      <c r="I113" s="125">
        <v>0</v>
      </c>
    </row>
    <row r="114" spans="1:9" ht="38.25" x14ac:dyDescent="0.25">
      <c r="A114" s="128">
        <v>855</v>
      </c>
      <c r="B114" s="128">
        <v>85508</v>
      </c>
      <c r="C114" s="128">
        <v>4330</v>
      </c>
      <c r="D114" s="129" t="s">
        <v>170</v>
      </c>
      <c r="E114" s="132">
        <v>266124</v>
      </c>
      <c r="F114" s="130">
        <v>80391.179999999993</v>
      </c>
      <c r="G114" s="126">
        <f t="shared" si="3"/>
        <v>0.30208166118050228</v>
      </c>
      <c r="H114" s="130">
        <v>0</v>
      </c>
      <c r="I114" s="125">
        <v>0</v>
      </c>
    </row>
    <row r="115" spans="1:9" x14ac:dyDescent="0.25">
      <c r="A115" s="128">
        <v>855</v>
      </c>
      <c r="B115" s="128">
        <v>85508</v>
      </c>
      <c r="C115" s="128">
        <v>4410</v>
      </c>
      <c r="D115" s="129" t="s">
        <v>158</v>
      </c>
      <c r="E115" s="132">
        <v>13000</v>
      </c>
      <c r="F115" s="130">
        <v>4768.12</v>
      </c>
      <c r="G115" s="126">
        <f t="shared" si="3"/>
        <v>0.36677846153846155</v>
      </c>
      <c r="H115" s="130">
        <v>453.83</v>
      </c>
      <c r="I115" s="125">
        <v>0</v>
      </c>
    </row>
    <row r="116" spans="1:9" x14ac:dyDescent="0.25">
      <c r="A116" s="128">
        <v>855</v>
      </c>
      <c r="B116" s="128">
        <v>85508</v>
      </c>
      <c r="C116" s="128">
        <v>4420</v>
      </c>
      <c r="D116" s="129" t="s">
        <v>179</v>
      </c>
      <c r="E116" s="132">
        <v>500</v>
      </c>
      <c r="F116" s="130">
        <v>0</v>
      </c>
      <c r="G116" s="126">
        <f t="shared" si="3"/>
        <v>0</v>
      </c>
      <c r="H116" s="130">
        <v>0</v>
      </c>
      <c r="I116" s="125">
        <v>0</v>
      </c>
    </row>
    <row r="117" spans="1:9" x14ac:dyDescent="0.25">
      <c r="A117" s="128">
        <v>855</v>
      </c>
      <c r="B117" s="128">
        <v>85508</v>
      </c>
      <c r="C117" s="128">
        <v>4430</v>
      </c>
      <c r="D117" s="129" t="s">
        <v>159</v>
      </c>
      <c r="E117" s="132">
        <v>500</v>
      </c>
      <c r="F117" s="130">
        <v>31.3</v>
      </c>
      <c r="G117" s="126">
        <f t="shared" si="3"/>
        <v>6.2600000000000003E-2</v>
      </c>
      <c r="H117" s="130">
        <v>0</v>
      </c>
      <c r="I117" s="125">
        <v>0</v>
      </c>
    </row>
    <row r="118" spans="1:9" ht="25.5" x14ac:dyDescent="0.25">
      <c r="A118" s="128">
        <v>855</v>
      </c>
      <c r="B118" s="128">
        <v>85508</v>
      </c>
      <c r="C118" s="128">
        <v>4440</v>
      </c>
      <c r="D118" s="129" t="s">
        <v>160</v>
      </c>
      <c r="E118" s="132">
        <v>6522</v>
      </c>
      <c r="F118" s="130">
        <v>5299.13</v>
      </c>
      <c r="G118" s="126">
        <f t="shared" si="3"/>
        <v>0.81250076663600124</v>
      </c>
      <c r="H118" s="130">
        <v>0</v>
      </c>
      <c r="I118" s="125">
        <v>0</v>
      </c>
    </row>
    <row r="119" spans="1:9" ht="25.5" x14ac:dyDescent="0.25">
      <c r="A119" s="118">
        <v>855</v>
      </c>
      <c r="B119" s="118">
        <v>85510</v>
      </c>
      <c r="C119" s="118" t="s">
        <v>107</v>
      </c>
      <c r="D119" s="120" t="s">
        <v>137</v>
      </c>
      <c r="E119" s="121">
        <f>SUM(E120:E122)</f>
        <v>304400</v>
      </c>
      <c r="F119" s="121">
        <f>SUM(F120:F122)</f>
        <v>71367.790000000008</v>
      </c>
      <c r="G119" s="122">
        <f t="shared" si="3"/>
        <v>0.23445397503285154</v>
      </c>
      <c r="H119" s="121">
        <f>SUM(H120:H122)</f>
        <v>0</v>
      </c>
      <c r="I119" s="121">
        <f>SUM(I120:I122)</f>
        <v>0</v>
      </c>
    </row>
    <row r="120" spans="1:9" x14ac:dyDescent="0.25">
      <c r="A120" s="128">
        <v>855</v>
      </c>
      <c r="B120" s="128">
        <v>85510</v>
      </c>
      <c r="C120" s="128">
        <v>3110</v>
      </c>
      <c r="D120" s="129" t="s">
        <v>174</v>
      </c>
      <c r="E120" s="132">
        <v>139568</v>
      </c>
      <c r="F120" s="130">
        <v>26367.79</v>
      </c>
      <c r="G120" s="126">
        <f t="shared" si="3"/>
        <v>0.1889243236271925</v>
      </c>
      <c r="H120" s="130">
        <v>0</v>
      </c>
      <c r="I120" s="125">
        <v>0</v>
      </c>
    </row>
    <row r="121" spans="1:9" x14ac:dyDescent="0.25">
      <c r="A121" s="128">
        <v>855</v>
      </c>
      <c r="B121" s="128">
        <v>85510</v>
      </c>
      <c r="C121" s="128">
        <v>4210</v>
      </c>
      <c r="D121" s="129" t="s">
        <v>147</v>
      </c>
      <c r="E121" s="132">
        <v>20832</v>
      </c>
      <c r="F121" s="130">
        <v>0</v>
      </c>
      <c r="G121" s="126">
        <f t="shared" si="3"/>
        <v>0</v>
      </c>
      <c r="H121" s="130">
        <v>0</v>
      </c>
      <c r="I121" s="125">
        <v>0</v>
      </c>
    </row>
    <row r="122" spans="1:9" ht="38.25" x14ac:dyDescent="0.25">
      <c r="A122" s="128">
        <v>855</v>
      </c>
      <c r="B122" s="128">
        <v>85510</v>
      </c>
      <c r="C122" s="128">
        <v>4330</v>
      </c>
      <c r="D122" s="129" t="s">
        <v>170</v>
      </c>
      <c r="E122" s="132">
        <v>144000</v>
      </c>
      <c r="F122" s="130">
        <v>45000</v>
      </c>
      <c r="G122" s="126">
        <f t="shared" si="3"/>
        <v>0.3125</v>
      </c>
      <c r="H122" s="130">
        <v>0</v>
      </c>
      <c r="I122" s="125">
        <v>0</v>
      </c>
    </row>
    <row r="123" spans="1:9" ht="15" customHeight="1" x14ac:dyDescent="0.25">
      <c r="A123" s="209" t="s">
        <v>180</v>
      </c>
      <c r="B123" s="210"/>
      <c r="C123" s="210"/>
      <c r="D123" s="211"/>
      <c r="E123" s="150">
        <f>E8+E44+E101</f>
        <v>6600408.5600000005</v>
      </c>
      <c r="F123" s="150">
        <f>F8+F44+F101</f>
        <v>2727379.17</v>
      </c>
      <c r="G123" s="94">
        <f t="shared" si="3"/>
        <v>0.41321368900230621</v>
      </c>
      <c r="H123" s="150">
        <f>H8+H44+H101</f>
        <v>25541.190000000002</v>
      </c>
      <c r="I123" s="150">
        <f>I8+I44+I101</f>
        <v>0</v>
      </c>
    </row>
  </sheetData>
  <mergeCells count="12">
    <mergeCell ref="I4:I6"/>
    <mergeCell ref="A123:D123"/>
    <mergeCell ref="G1:I1"/>
    <mergeCell ref="A2:I2"/>
    <mergeCell ref="A4:A6"/>
    <mergeCell ref="B4:B6"/>
    <mergeCell ref="C4:C6"/>
    <mergeCell ref="D4:D6"/>
    <mergeCell ref="E4:E6"/>
    <mergeCell ref="F4:F6"/>
    <mergeCell ref="G4:G6"/>
    <mergeCell ref="H4:H6"/>
  </mergeCells>
  <pageMargins left="0.7" right="0.7" top="0.75" bottom="0.75" header="0.3" footer="0.3"/>
  <pageSetup paperSize="9"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1</vt:i4>
      </vt:variant>
    </vt:vector>
  </HeadingPairs>
  <TitlesOfParts>
    <vt:vector size="4" baseType="lpstr">
      <vt:lpstr>Wydatki</vt:lpstr>
      <vt:lpstr>Dochody</vt:lpstr>
      <vt:lpstr>Wydatki (2)</vt:lpstr>
      <vt:lpstr>Wydatki!Obszar_wydruku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dc:creator>
  <cp:lastModifiedBy>Barbara Truszkiewicz</cp:lastModifiedBy>
  <cp:lastPrinted>2018-07-13T08:03:15Z</cp:lastPrinted>
  <dcterms:created xsi:type="dcterms:W3CDTF">2017-07-31T10:54:35Z</dcterms:created>
  <dcterms:modified xsi:type="dcterms:W3CDTF">2018-08-30T06:33:19Z</dcterms:modified>
</cp:coreProperties>
</file>